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37o/1TWEbsYaif06h8Z9H69KUKjmCOv+fHW934rCJwc45PsIpuqEnJtsnYgxOZMw2uUj4cTZLXWgZmV6q6DWUA==" workbookSaltValue="zLrvSS2ho4X7UTaDV0p9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BF17" i="13"/>
  <c r="AE20" i="8" l="1"/>
  <c r="B19" i="2"/>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H19" i="2" l="1"/>
  <c r="J19" i="2"/>
  <c r="Z20" i="17"/>
  <c r="BM20" i="26"/>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T19" i="26" l="1"/>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<sst xmlns="http://schemas.openxmlformats.org/spreadsheetml/2006/main" count="2513" uniqueCount="1025">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</sst>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m1U7gop75WG9n2NM889ucjIvijigdjMUvRxd4cwuJefrV5bFDG35Lnw50RhYTQDW2yX/rer5Ux3ehHW9G2xpA==" saltValue="T1oIshftTinFB/UrHgvG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12.00738552437223</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74</v>
      </c>
      <c r="D10" s="224">
        <f>IF(ISNUMBER(Datos!I10),Datos!I10," - ")</f>
        <v>74</v>
      </c>
      <c r="E10" s="225">
        <f>IF(ISNUMBER(Datos!J10),Datos!J10," - ")</f>
        <v>54</v>
      </c>
      <c r="F10" s="225">
        <f>IF(ISNUMBER(Datos!K10),Datos!K10," - ")</f>
        <v>43</v>
      </c>
      <c r="G10" s="1029" t="str">
        <f>IF(Datos!E10&lt;&gt;"",Datos!E10,Datos!D10)</f>
        <v>37</v>
      </c>
      <c r="H10" s="226">
        <f>IF(ISNUMBER(Datos!L10),Datos!L10," - ")</f>
        <v>85</v>
      </c>
      <c r="I10" s="1039" t="str">
        <f>IF(ISNUMBER(Datos!AS10/Datos!BM10),Datos!AS10/Datos!BM10," - ")</f>
        <v xml:space="preserve"> - </v>
      </c>
      <c r="J10" s="1040">
        <f>IF(ISNUMBER(Datos!BY10/Datos!CN10),Datos!BY10/Datos!CN10," - ")</f>
        <v>0</v>
      </c>
      <c r="K10" s="229">
        <f t="shared" ref="K10:K12" si="1">IF(ISNUMBER((E10-F10)/C10),(E10-F10)/C10," - ")</f>
        <v>0.14864864864864866</v>
      </c>
      <c r="L10" s="1020">
        <f>IF(ISNUMBER(NºAsuntos!I10/NºAsuntos!G10),(NºAsuntos!I10/NºAsuntos!G10)*11," - ")</f>
        <v>21.744186046511629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10.719745222929937</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74</v>
      </c>
      <c r="D13" s="1044">
        <f>SUBTOTAL(9,D9:D12)</f>
        <v>74</v>
      </c>
      <c r="E13" s="1045">
        <f>SUBTOTAL(9,E9:E12)</f>
        <v>54</v>
      </c>
      <c r="F13" s="1046">
        <f>SUBTOTAL(9,F9:F12)</f>
        <v>43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4</v>
      </c>
      <c r="B15" s="501" t="str">
        <f>Datos!A15</f>
        <v xml:space="preserve">Seccion Instruccion Del T.I.                   </v>
      </c>
      <c r="C15" s="224">
        <f t="shared" ref="C15:C18" si="2">IF(ISNUMBER(H15-E15+F15),H15-E15+F15," - ")</f>
        <v>2520</v>
      </c>
      <c r="D15" s="224">
        <f>IF(ISNUMBER(IF(D_I="SI",Datos!I15,Datos!I15+Datos!AC15)),IF(D_I="SI",Datos!I15,Datos!I15+Datos!AC15)," - ")</f>
        <v>2386</v>
      </c>
      <c r="E15" s="225">
        <f>IF(ISNUMBER(IF(D_I="SI",Datos!J15,Datos!J15+Datos!AD15)),IF(D_I="SI",Datos!J15,Datos!J15+Datos!AD15)," - ")</f>
        <v>3483</v>
      </c>
      <c r="F15" s="225">
        <f>IF(ISNUMBER(IF(D_I="SI",Datos!K15,Datos!K15+Datos!AE15)),IF(D_I="SI",Datos!K15,Datos!K15+Datos!AE15)," - ")</f>
        <v>3552</v>
      </c>
      <c r="G15" s="1029" t="str">
        <f>IF(Datos!E15&lt;&gt;"",Datos!E15,Datos!D15)</f>
        <v>03</v>
      </c>
      <c r="H15" s="226">
        <f>IF(ISNUMBER(IF(D_I="SI",Datos!L15,Datos!L15+Datos!AF15)),IF(D_I="SI",Datos!L15,Datos!L15+Datos!AF15)," - ")</f>
        <v>2451</v>
      </c>
      <c r="I15" s="1039" t="str">
        <f>IF(ISNUMBER(Datos!AS15/Datos!BM15),Datos!AS15/Datos!BM15," - ")</f>
        <v xml:space="preserve"> - </v>
      </c>
      <c r="J15" s="1040">
        <f>IF(ISNUMBER(Datos!BY15/Datos!CN15),Datos!BY15/Datos!CN15," - ")</f>
        <v>0</v>
      </c>
      <c r="K15" s="229">
        <f t="shared" ref="K15:K18" si="3">IF(ISNUMBER((E15-F15)/C15),(E15-F15)/C15," - ")</f>
        <v>-2.7380952380952381E-2</v>
      </c>
      <c r="L15" s="1020">
        <f>IF(ISNUMBER(NºAsuntos!I15/NºAsuntos!G15),(NºAsuntos!I15/NºAsuntos!G15)*11," - ")</f>
        <v>7.590371621621621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191</v>
      </c>
      <c r="D18" s="224">
        <f>IF(ISNUMBER(IF(D_I="SI",Datos!I18,Datos!I18+Datos!AC18)),IF(D_I="SI",Datos!I18,Datos!I18+Datos!AC18)," - ")</f>
        <v>208</v>
      </c>
      <c r="E18" s="225">
        <f>IF(ISNUMBER(IF(D_I="SI",Datos!J18,Datos!J18+Datos!AD18)),IF(D_I="SI",Datos!J18,Datos!J18+Datos!AD18)," - ")</f>
        <v>437</v>
      </c>
      <c r="F18" s="225">
        <f>IF(ISNUMBER(IF(D_I="SI",Datos!K18,Datos!K18+Datos!AE18)),IF(D_I="SI",Datos!K18,Datos!K18+Datos!AE18)," - ")</f>
        <v>402</v>
      </c>
      <c r="G18" s="1029" t="str">
        <f>IF(Datos!E18&lt;&gt;"",Datos!E18,Datos!D18)</f>
        <v>37</v>
      </c>
      <c r="H18" s="226">
        <f>IF(ISNUMBER(IF(D_I="SI",Datos!L18,Datos!L18+Datos!AF18)),IF(D_I="SI",Datos!L18,Datos!L18+Datos!AF18)," - ")</f>
        <v>226</v>
      </c>
      <c r="I18" s="1039" t="str">
        <f>IF(ISNUMBER(Datos!AS18/Datos!BM18),Datos!AS18/Datos!BM18," - ")</f>
        <v xml:space="preserve"> - </v>
      </c>
      <c r="J18" s="1040" t="str">
        <f>IF(ISNUMBER((Datos!BY18+Datos!BZ18)/Datos!CN18),(Datos!BY18+Datos!BZ18)/Datos!CN18," - ")</f>
        <v xml:space="preserve"> - </v>
      </c>
      <c r="K18" s="229">
        <f t="shared" si="3"/>
        <v>0.18324607329842932</v>
      </c>
      <c r="L18" s="1020">
        <f>IF(ISNUMBER(NºAsuntos!I18/NºAsuntos!G18),(NºAsuntos!I18/NºAsuntos!G18)*11," - ")</f>
        <v>6.1840796019900495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2711</v>
      </c>
      <c r="D19" s="1044">
        <f>SUBTOTAL(9,D15:D18)</f>
        <v>2594</v>
      </c>
      <c r="E19" s="1045">
        <f>SUBTOTAL(9,E15:E18)</f>
        <v>3920</v>
      </c>
      <c r="F19" s="1045">
        <f>SUBTOTAL(9,F15:F18)</f>
        <v>3954</v>
      </c>
      <c r="G19" s="1047" t="str">
        <f ca="1">INDIRECT(CONCATENATE("G",ROW()-1))</f>
        <v>37</v>
      </c>
      <c r="H19" s="1048">
        <f ca="1">SUMIF(G$14:G18,G19,H$14:H18)</f>
        <v>226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2785</v>
      </c>
      <c r="D20" s="1066">
        <f>SUBTOTAL(9,D9:D19)</f>
        <v>2668</v>
      </c>
      <c r="E20" s="1067">
        <f>SUBTOTAL(9,E9:E19)</f>
        <v>3974</v>
      </c>
      <c r="F20" s="1067">
        <f>SUBTOTAL(9,F9:F19)</f>
        <v>3997</v>
      </c>
      <c r="G20" s="1068"/>
      <c r="H20" s="1069">
        <f ca="1">SUMIF(B9:B19,"TOTAL",H9:H19)</f>
        <v>226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8s/L+b+FBEm89TpQNGemHrqhoTfVuV61G9WiYgXrpazjOB0Nd/J1wRouY8yhieUgkxrnK9nythAxeWPK7+NUQ==" saltValue="xYqWOJX39F/Q55VlWJ8HA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N8+PTGFGuvr+J6SzgRx6JCySsFHHj4bbGmmU8u8VSya5ypWemIEW3QKwK9vbRgHzmsZP/3nVNGZDh8j4OIA5Q==" saltValue="ittOMwZG3Utwps2QR/bx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4145</v>
      </c>
      <c r="J9" s="180">
        <v>3455</v>
      </c>
      <c r="K9" s="180">
        <v>3434</v>
      </c>
      <c r="L9" s="180">
        <v>4154</v>
      </c>
      <c r="M9" s="180">
        <v>1153</v>
      </c>
      <c r="N9" s="180">
        <v>1456</v>
      </c>
      <c r="O9" s="180">
        <v>1900</v>
      </c>
      <c r="P9" s="180">
        <v>873</v>
      </c>
      <c r="Q9" s="180">
        <v>1019</v>
      </c>
      <c r="R9" s="180">
        <v>11673</v>
      </c>
      <c r="S9" s="180">
        <v>5677</v>
      </c>
      <c r="T9" s="180">
        <v>6195</v>
      </c>
      <c r="U9" s="180">
        <v>4844</v>
      </c>
      <c r="V9" s="180">
        <v>7040</v>
      </c>
      <c r="W9" s="180">
        <v>1518</v>
      </c>
      <c r="X9" s="187">
        <v>2066</v>
      </c>
      <c r="Y9" s="190">
        <v>333</v>
      </c>
      <c r="Z9" s="180">
        <v>575</v>
      </c>
      <c r="AA9" s="180">
        <v>628</v>
      </c>
      <c r="AB9" s="180">
        <v>280</v>
      </c>
      <c r="AC9" s="180">
        <v>0</v>
      </c>
      <c r="AD9" s="180">
        <v>0</v>
      </c>
      <c r="AE9" s="180">
        <v>0</v>
      </c>
      <c r="AF9" s="187">
        <v>0</v>
      </c>
      <c r="AG9" s="190">
        <v>154</v>
      </c>
      <c r="AH9" s="180">
        <v>238</v>
      </c>
      <c r="AI9" s="180">
        <v>248</v>
      </c>
      <c r="AJ9" s="191">
        <v>144</v>
      </c>
      <c r="AK9" s="179">
        <v>0</v>
      </c>
      <c r="AL9" s="180">
        <v>0</v>
      </c>
      <c r="AM9" s="180">
        <v>0</v>
      </c>
      <c r="AN9" s="187">
        <v>0</v>
      </c>
      <c r="AO9" s="257">
        <v>10</v>
      </c>
      <c r="AP9" s="153">
        <v>10</v>
      </c>
      <c r="AQ9" s="153">
        <v>10</v>
      </c>
      <c r="AR9" s="192">
        <v>10</v>
      </c>
      <c r="AS9" s="337" t="s">
        <v>763</v>
      </c>
      <c r="AT9" s="194"/>
      <c r="AU9" s="193"/>
      <c r="AV9" s="194"/>
      <c r="AW9" s="193"/>
      <c r="AX9" s="194"/>
      <c r="AY9" s="123">
        <f>IF(ISNUMBER(IF(J_V="SI",S9,S9+AG9)),IF(J_V="SI",S9,S9+AG9)," - ")</f>
        <v>5831</v>
      </c>
      <c r="AZ9" s="123">
        <f>IF(ISNUMBER(IF(J_V="SI",T9,T9+AH9)),IF(J_V="SI",T9,T9+AH9)," - ")</f>
        <v>6433</v>
      </c>
      <c r="BA9" s="124">
        <f>IF(ISNUMBER(IF(J_V="SI",U9,U9+AI9)),IF(J_V="SI",U9,U9+AI9)," - ")</f>
        <v>5092</v>
      </c>
      <c r="BB9" s="124">
        <f>IF(ISNUMBER(IF(J_V="SI",V9,V9+AJ9)),IF(J_V="SI",V9,V9+AJ9)," - ")</f>
        <v>7184</v>
      </c>
      <c r="BC9" s="125">
        <f>IF(ISNUMBER(X9),X9," - ")</f>
        <v>2066</v>
      </c>
      <c r="BD9" s="126">
        <f>IF(ISNUMBER(BA9/AZ9),BA9/AZ9," - ")</f>
        <v>0.79154360329550755</v>
      </c>
      <c r="BE9" s="127">
        <f>IF(ISNUMBER(BB9/BA9),BB9/BA9, " - ")</f>
        <v>1.4108405341712491</v>
      </c>
      <c r="BF9" s="127">
        <f>IF(ISNUMBER(BC9/BA9),BC9/BA9, " - ")</f>
        <v>0.40573448546739982</v>
      </c>
      <c r="BG9" s="195">
        <f>IF(ISNUMBER((AY9+AZ9)/BA9),(AY9+AZ9)/BA9," - ")</f>
        <v>2.408483896307934</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74</v>
      </c>
      <c r="J10" s="180">
        <v>54</v>
      </c>
      <c r="K10" s="180">
        <v>43</v>
      </c>
      <c r="L10" s="180">
        <v>85</v>
      </c>
      <c r="M10" s="180">
        <v>22</v>
      </c>
      <c r="N10" s="180">
        <v>13</v>
      </c>
      <c r="O10" s="180">
        <v>9</v>
      </c>
      <c r="P10" s="180">
        <v>11</v>
      </c>
      <c r="Q10" s="180">
        <v>1</v>
      </c>
      <c r="R10" s="180">
        <v>74</v>
      </c>
      <c r="S10" s="180">
        <v>113</v>
      </c>
      <c r="T10" s="180">
        <v>91</v>
      </c>
      <c r="U10" s="180">
        <v>76</v>
      </c>
      <c r="V10" s="180">
        <v>128</v>
      </c>
      <c r="W10" s="180">
        <v>22</v>
      </c>
      <c r="X10" s="187">
        <v>31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113</v>
      </c>
      <c r="AZ10" s="129">
        <f t="shared" si="0"/>
        <v>91</v>
      </c>
      <c r="BA10" s="129">
        <f t="shared" si="0"/>
        <v>76</v>
      </c>
      <c r="BB10" s="129">
        <f t="shared" si="0"/>
        <v>128</v>
      </c>
      <c r="BC10" s="125">
        <f t="shared" si="0"/>
        <v>22</v>
      </c>
      <c r="BD10" s="126">
        <f>IF(ISNUMBER(BA10/AZ10),BA10/AZ10," - ")</f>
        <v>0.8351648351648352</v>
      </c>
      <c r="BE10" s="127">
        <f>IF(ISNUMBER(BB10/BA10),BB10/BA10, " - ")</f>
        <v>1.6842105263157894</v>
      </c>
      <c r="BF10" s="127">
        <f>IF(ISNUMBER(BC10/BA10),BC10/BA10, " - ")</f>
        <v>0.28947368421052633</v>
      </c>
      <c r="BG10" s="195">
        <f>IF(ISNUMBER((AY10+AZ10)/BA10),(AY10+AZ10)/BA10," - ")</f>
        <v>2.6842105263157894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280</v>
      </c>
      <c r="J11" s="182">
        <v>342</v>
      </c>
      <c r="K11" s="182">
        <v>289</v>
      </c>
      <c r="L11" s="182">
        <v>333</v>
      </c>
      <c r="M11" s="182">
        <v>131</v>
      </c>
      <c r="N11" s="182">
        <v>289</v>
      </c>
      <c r="O11" s="180">
        <v>118</v>
      </c>
      <c r="P11" s="182">
        <v>46</v>
      </c>
      <c r="Q11" s="182">
        <v>72</v>
      </c>
      <c r="R11" s="182">
        <v>261</v>
      </c>
      <c r="S11" s="182">
        <v>354</v>
      </c>
      <c r="T11" s="182">
        <v>359</v>
      </c>
      <c r="U11" s="182">
        <v>367</v>
      </c>
      <c r="V11" s="182">
        <v>346</v>
      </c>
      <c r="W11" s="182">
        <v>181</v>
      </c>
      <c r="X11" s="188">
        <v>398</v>
      </c>
      <c r="Y11" s="190">
        <v>115</v>
      </c>
      <c r="Z11" s="180">
        <v>193</v>
      </c>
      <c r="AA11" s="180">
        <v>182</v>
      </c>
      <c r="AB11" s="180">
        <v>126</v>
      </c>
      <c r="AC11" s="182">
        <v>0</v>
      </c>
      <c r="AD11" s="182">
        <v>0</v>
      </c>
      <c r="AE11" s="182">
        <v>0</v>
      </c>
      <c r="AF11" s="188">
        <v>0</v>
      </c>
      <c r="AG11" s="201">
        <v>84</v>
      </c>
      <c r="AH11" s="182">
        <v>292</v>
      </c>
      <c r="AI11" s="182">
        <v>278</v>
      </c>
      <c r="AJ11" s="202">
        <v>98</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438</v>
      </c>
      <c r="AZ11" s="127">
        <f t="shared" si="1"/>
        <v>651</v>
      </c>
      <c r="BA11" s="127">
        <f t="shared" si="1"/>
        <v>645</v>
      </c>
      <c r="BB11" s="127">
        <f t="shared" si="1"/>
        <v>444</v>
      </c>
      <c r="BC11" s="125">
        <f>IF(ISNUMBER(X11),X11," - ")</f>
        <v>398</v>
      </c>
      <c r="BD11" s="126">
        <f t="shared" ref="BD11:BD12" si="2">IF(ISNUMBER(BA11/AZ11),BA11/AZ11," - ")</f>
        <v>0.99078341013824889</v>
      </c>
      <c r="BE11" s="127">
        <f t="shared" ref="BE11:BE12" si="3">IF(ISNUMBER(BB11/BA11),BB11/BA11, " - ")</f>
        <v>0.68837209302325586</v>
      </c>
      <c r="BF11" s="127">
        <f t="shared" ref="BF11:BF12" si="4">IF(ISNUMBER(BC11/BA11),BC11/BA11, " - ")</f>
        <v>0.61705426356589144</v>
      </c>
      <c r="BG11" s="195">
        <f t="shared" ref="BG11:BG12" si="5">IF(ISNUMBER((AY11+AZ11)/BA11),(AY11+AZ11)/BA11," - ")</f>
        <v>1.6883720930232557</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4499</v>
      </c>
      <c r="J13" s="183">
        <f t="shared" si="6"/>
        <v>3851</v>
      </c>
      <c r="K13" s="183">
        <f t="shared" si="6"/>
        <v>3766</v>
      </c>
      <c r="L13" s="183">
        <f t="shared" si="6"/>
        <v>4572</v>
      </c>
      <c r="M13" s="183">
        <f t="shared" si="6"/>
        <v>1306</v>
      </c>
      <c r="N13" s="183">
        <f t="shared" si="6"/>
        <v>1758</v>
      </c>
      <c r="O13" s="183">
        <f t="shared" si="6"/>
        <v>2027</v>
      </c>
      <c r="P13" s="183">
        <f t="shared" si="6"/>
        <v>930</v>
      </c>
      <c r="Q13" s="183">
        <f t="shared" si="6"/>
        <v>1092</v>
      </c>
      <c r="R13" s="183">
        <f t="shared" si="6"/>
        <v>12008</v>
      </c>
      <c r="S13" s="183">
        <f t="shared" si="6"/>
        <v>6144</v>
      </c>
      <c r="T13" s="183">
        <f t="shared" si="6"/>
        <v>6645</v>
      </c>
      <c r="U13" s="183">
        <f t="shared" si="6"/>
        <v>5287</v>
      </c>
      <c r="V13" s="183">
        <f t="shared" si="6"/>
        <v>7514</v>
      </c>
      <c r="W13" s="183">
        <f t="shared" si="6"/>
        <v>1721</v>
      </c>
      <c r="X13" s="183">
        <f t="shared" si="6"/>
        <v>2495</v>
      </c>
      <c r="Y13" s="183">
        <f t="shared" si="6"/>
        <v>448</v>
      </c>
      <c r="Z13" s="183">
        <f t="shared" si="6"/>
        <v>768</v>
      </c>
      <c r="AA13" s="183">
        <f t="shared" si="6"/>
        <v>810</v>
      </c>
      <c r="AB13" s="183">
        <f t="shared" si="6"/>
        <v>406</v>
      </c>
      <c r="AC13" s="183">
        <f t="shared" si="6"/>
        <v>0</v>
      </c>
      <c r="AD13" s="183">
        <f t="shared" si="6"/>
        <v>0</v>
      </c>
      <c r="AE13" s="183">
        <f t="shared" si="6"/>
        <v>0</v>
      </c>
      <c r="AF13" s="183">
        <f>SUBTOTAL(9,AF9:AF12)</f>
        <v>0</v>
      </c>
      <c r="AG13" s="183">
        <f t="shared" ref="AG13:AT13" si="7">SUBTOTAL(9,AG8:AG12)</f>
        <v>238</v>
      </c>
      <c r="AH13" s="183">
        <f t="shared" si="7"/>
        <v>530</v>
      </c>
      <c r="AI13" s="183">
        <f t="shared" si="7"/>
        <v>526</v>
      </c>
      <c r="AJ13" s="183">
        <f t="shared" si="7"/>
        <v>242</v>
      </c>
      <c r="AK13" s="183">
        <f t="shared" si="7"/>
        <v>0</v>
      </c>
      <c r="AL13" s="183">
        <f t="shared" si="7"/>
        <v>0</v>
      </c>
      <c r="AM13" s="183">
        <f t="shared" si="7"/>
        <v>0</v>
      </c>
      <c r="AN13" s="183">
        <f t="shared" si="7"/>
        <v>0</v>
      </c>
      <c r="AO13" s="183">
        <f t="shared" si="7"/>
        <v>14</v>
      </c>
      <c r="AP13" s="183">
        <f t="shared" si="7"/>
        <v>14</v>
      </c>
      <c r="AQ13" s="183">
        <f t="shared" si="7"/>
        <v>13</v>
      </c>
      <c r="AR13" s="183">
        <f t="shared" si="7"/>
        <v>13</v>
      </c>
      <c r="AS13" s="183">
        <f t="shared" si="7"/>
        <v>0</v>
      </c>
      <c r="AT13" s="183">
        <f t="shared" si="7"/>
        <v>0</v>
      </c>
      <c r="AU13" s="203"/>
      <c r="AV13" s="132"/>
      <c r="AW13" s="203"/>
      <c r="AX13" s="132"/>
      <c r="AY13" s="183">
        <f>SUBTOTAL(9,AY8:AY12)</f>
        <v>6382</v>
      </c>
      <c r="AZ13" s="183">
        <f>SUBTOTAL(9,AZ8:AZ12)</f>
        <v>7175</v>
      </c>
      <c r="BA13" s="183">
        <f>SUBTOTAL(9,BA8:BA12)</f>
        <v>5813</v>
      </c>
      <c r="BB13" s="183">
        <f>SUBTOTAL(9,BB8:BB12)</f>
        <v>7756</v>
      </c>
      <c r="BC13" s="183">
        <f>SUBTOTAL(9,BC8:BC12)</f>
        <v>2486</v>
      </c>
      <c r="BD13" s="204">
        <f>IF(ISNUMBER(BA13/AZ13),BA13/AZ13," - ")</f>
        <v>0.81017421602787454</v>
      </c>
      <c r="BE13" s="205">
        <f>IF(ISNUMBER(BB13/BA13),BB13/BA13, " - ")</f>
        <v>1.3342508171340099</v>
      </c>
      <c r="BF13" s="205">
        <f>IF(ISNUMBER(BC13/BA13),BC13/BA13, " - ")</f>
        <v>0.42766213659040081</v>
      </c>
      <c r="BG13" s="206">
        <f>IF(ISNUMBER((AY13+AZ13)/BA13),(AY13+AZ13)/BA13," - ")</f>
        <v>2.3321864785824875</v>
      </c>
      <c r="BH13" s="139">
        <f>SUBTOTAL(9,BH8:BH12)</f>
        <v>16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2386</v>
      </c>
      <c r="J15" s="182">
        <v>3483</v>
      </c>
      <c r="K15" s="182">
        <v>3552</v>
      </c>
      <c r="L15" s="182">
        <v>2451</v>
      </c>
      <c r="M15" s="182">
        <v>492</v>
      </c>
      <c r="N15" s="182">
        <v>2233</v>
      </c>
      <c r="O15" s="180">
        <v>129</v>
      </c>
      <c r="P15" s="182">
        <v>204</v>
      </c>
      <c r="Q15" s="182">
        <v>169</v>
      </c>
      <c r="R15" s="182">
        <v>709</v>
      </c>
      <c r="S15" s="182">
        <v>2738</v>
      </c>
      <c r="T15" s="182">
        <v>3323</v>
      </c>
      <c r="U15" s="182">
        <v>3274</v>
      </c>
      <c r="V15" s="182">
        <v>2813</v>
      </c>
      <c r="W15" s="182">
        <v>402</v>
      </c>
      <c r="X15" s="188">
        <v>1997</v>
      </c>
      <c r="Y15" s="201">
        <v>0</v>
      </c>
      <c r="Z15" s="182">
        <v>0</v>
      </c>
      <c r="AA15" s="182">
        <v>0</v>
      </c>
      <c r="AB15" s="182">
        <v>0</v>
      </c>
      <c r="AC15" s="182">
        <v>2</v>
      </c>
      <c r="AD15" s="182">
        <v>31</v>
      </c>
      <c r="AE15" s="182">
        <v>32</v>
      </c>
      <c r="AF15" s="188">
        <v>1</v>
      </c>
      <c r="AG15" s="201">
        <v>0</v>
      </c>
      <c r="AH15" s="182">
        <v>0</v>
      </c>
      <c r="AI15" s="182">
        <v>0</v>
      </c>
      <c r="AJ15" s="202">
        <v>0</v>
      </c>
      <c r="AK15" s="181">
        <v>0</v>
      </c>
      <c r="AL15" s="182">
        <v>27</v>
      </c>
      <c r="AM15" s="182">
        <v>27</v>
      </c>
      <c r="AN15" s="188">
        <v>0</v>
      </c>
      <c r="AO15" s="258">
        <v>4</v>
      </c>
      <c r="AP15" s="154">
        <v>4</v>
      </c>
      <c r="AQ15" s="154">
        <v>4</v>
      </c>
      <c r="AR15" s="154">
        <v>4</v>
      </c>
      <c r="AS15" s="339" t="s">
        <v>520</v>
      </c>
      <c r="AT15" s="202" t="s">
        <v>327</v>
      </c>
      <c r="AU15" s="201"/>
      <c r="AV15" s="202"/>
      <c r="AW15" s="201"/>
      <c r="AX15" s="202"/>
      <c r="AY15" s="128">
        <f t="shared" ref="AY15:BB17" si="9">IF(ISNUMBER(IF(D_I="SI",S15,S15+AK15)),IF(D_I="SI",S15,S15+AK15)," - ")</f>
        <v>2738</v>
      </c>
      <c r="AZ15" s="129">
        <f t="shared" si="9"/>
        <v>3323</v>
      </c>
      <c r="BA15" s="129">
        <f t="shared" si="9"/>
        <v>3274</v>
      </c>
      <c r="BB15" s="129">
        <f t="shared" si="9"/>
        <v>2813</v>
      </c>
      <c r="BC15" s="125">
        <f>IF(ISNUMBER(W15),W15," - ")</f>
        <v>402</v>
      </c>
      <c r="BD15" s="126">
        <f>IF(ISNUMBER(BA15/AZ15),BA15/AZ15," - ")</f>
        <v>0.98525428829371053</v>
      </c>
      <c r="BE15" s="127">
        <f>IF(ISNUMBER(BB15/BA15),BB15/BA15, " - ")</f>
        <v>0.85919364691508859</v>
      </c>
      <c r="BF15" s="127">
        <f>IF(ISNUMBER(BC15/BA15),BC15/BA15, " - ")</f>
        <v>0.12278558338423946</v>
      </c>
      <c r="BG15" s="195">
        <f t="shared" ref="BG15:BG17" si="10">IF(ISNUMBER((AY15+AZ15)/BA15),(AY15+AZ15)/BA15," - ")</f>
        <v>1.8512522907758093</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208</v>
      </c>
      <c r="J18" s="182">
        <v>437</v>
      </c>
      <c r="K18" s="182">
        <v>402</v>
      </c>
      <c r="L18" s="182">
        <v>226</v>
      </c>
      <c r="M18" s="182">
        <v>48</v>
      </c>
      <c r="N18" s="182">
        <v>198</v>
      </c>
      <c r="O18" s="182">
        <v>0</v>
      </c>
      <c r="P18" s="182">
        <v>7</v>
      </c>
      <c r="Q18" s="182">
        <v>4</v>
      </c>
      <c r="R18" s="182">
        <v>9</v>
      </c>
      <c r="S18" s="182">
        <v>226</v>
      </c>
      <c r="T18" s="182">
        <v>373</v>
      </c>
      <c r="U18" s="182">
        <v>375</v>
      </c>
      <c r="V18" s="182">
        <v>224</v>
      </c>
      <c r="W18" s="182">
        <v>65</v>
      </c>
      <c r="X18" s="188">
        <v>199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226</v>
      </c>
      <c r="AZ18" s="129">
        <f t="shared" si="19"/>
        <v>373</v>
      </c>
      <c r="BA18" s="129">
        <f t="shared" si="19"/>
        <v>375</v>
      </c>
      <c r="BB18" s="129">
        <f t="shared" si="19"/>
        <v>224</v>
      </c>
      <c r="BC18" s="125">
        <f>IF(ISNUMBER(W18),W18," - ")</f>
        <v>65</v>
      </c>
      <c r="BD18" s="126">
        <f>IF(ISNUMBER(BA18/AZ18),BA18/AZ18," - ")</f>
        <v>1.0053619302949062</v>
      </c>
      <c r="BE18" s="127">
        <f>IF(ISNUMBER(BB18/BA18),BB18/BA18, " - ")</f>
        <v>0.59733333333333338</v>
      </c>
      <c r="BF18" s="127">
        <f>IF(ISNUMBER(BC18/BA18),BC18/BA18, " - ")</f>
        <v>0.17333333333333334</v>
      </c>
      <c r="BG18" s="195">
        <f>IF(ISNUMBER((AY18+AZ18)/BA18),(AY18+AZ18)/BA18," - ")</f>
        <v>1.5973333333333333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2594</v>
      </c>
      <c r="J19" s="183">
        <f t="shared" si="20"/>
        <v>3920</v>
      </c>
      <c r="K19" s="183">
        <f t="shared" si="20"/>
        <v>3954</v>
      </c>
      <c r="L19" s="183">
        <f t="shared" si="20"/>
        <v>2677</v>
      </c>
      <c r="M19" s="183">
        <f t="shared" si="20"/>
        <v>540</v>
      </c>
      <c r="N19" s="183">
        <f t="shared" si="20"/>
        <v>2431</v>
      </c>
      <c r="O19" s="183">
        <f t="shared" si="20"/>
        <v>129</v>
      </c>
      <c r="P19" s="183">
        <f t="shared" si="20"/>
        <v>211</v>
      </c>
      <c r="Q19" s="183">
        <f t="shared" si="20"/>
        <v>173</v>
      </c>
      <c r="R19" s="183">
        <f t="shared" si="20"/>
        <v>718</v>
      </c>
      <c r="S19" s="183">
        <f t="shared" si="20"/>
        <v>2964</v>
      </c>
      <c r="T19" s="183">
        <f t="shared" si="20"/>
        <v>3696</v>
      </c>
      <c r="U19" s="183">
        <f t="shared" si="20"/>
        <v>3649</v>
      </c>
      <c r="V19" s="183">
        <f t="shared" si="20"/>
        <v>3037</v>
      </c>
      <c r="W19" s="183">
        <f t="shared" si="20"/>
        <v>467</v>
      </c>
      <c r="X19" s="183">
        <f t="shared" si="20"/>
        <v>2196</v>
      </c>
      <c r="Y19" s="183">
        <f t="shared" si="20"/>
        <v>0</v>
      </c>
      <c r="Z19" s="183">
        <f t="shared" si="20"/>
        <v>0</v>
      </c>
      <c r="AA19" s="183">
        <f t="shared" si="20"/>
        <v>0</v>
      </c>
      <c r="AB19" s="183">
        <f t="shared" si="20"/>
        <v>0</v>
      </c>
      <c r="AC19" s="183">
        <f t="shared" si="20"/>
        <v>2</v>
      </c>
      <c r="AD19" s="183">
        <f t="shared" si="20"/>
        <v>31</v>
      </c>
      <c r="AE19" s="183">
        <f t="shared" si="20"/>
        <v>32</v>
      </c>
      <c r="AF19" s="183">
        <f t="shared" si="20"/>
        <v>1</v>
      </c>
      <c r="AG19" s="183">
        <f t="shared" si="20"/>
        <v>0</v>
      </c>
      <c r="AH19" s="183">
        <f t="shared" si="20"/>
        <v>0</v>
      </c>
      <c r="AI19" s="183">
        <f t="shared" si="20"/>
        <v>0</v>
      </c>
      <c r="AJ19" s="183">
        <f t="shared" si="20"/>
        <v>0</v>
      </c>
      <c r="AK19" s="183">
        <f t="shared" si="20"/>
        <v>0</v>
      </c>
      <c r="AL19" s="183">
        <f t="shared" si="20"/>
        <v>27</v>
      </c>
      <c r="AM19" s="183">
        <f t="shared" si="20"/>
        <v>27</v>
      </c>
      <c r="AN19" s="183">
        <f t="shared" si="20"/>
        <v>0</v>
      </c>
      <c r="AO19" s="183">
        <f t="shared" si="20"/>
        <v>5</v>
      </c>
      <c r="AP19" s="183">
        <f t="shared" si="20"/>
        <v>5</v>
      </c>
      <c r="AQ19" s="183">
        <f t="shared" si="20"/>
        <v>5</v>
      </c>
      <c r="AR19" s="183">
        <f t="shared" si="20"/>
        <v>5</v>
      </c>
      <c r="AS19" s="183">
        <f t="shared" si="20"/>
        <v>0</v>
      </c>
      <c r="AT19" s="183">
        <f t="shared" si="20"/>
        <v>0</v>
      </c>
      <c r="AU19" s="203"/>
      <c r="AV19" s="132"/>
      <c r="AW19" s="203"/>
      <c r="AX19" s="132"/>
      <c r="AY19" s="183">
        <f>SUBTOTAL(9,AY14:AY18)</f>
        <v>2964</v>
      </c>
      <c r="AZ19" s="183">
        <f>SUBTOTAL(9,AZ14:AZ18)</f>
        <v>3696</v>
      </c>
      <c r="BA19" s="183">
        <f>SUBTOTAL(9,BA14:BA18)</f>
        <v>3649</v>
      </c>
      <c r="BB19" s="183">
        <f>SUBTOTAL(9,BB14:BB18)</f>
        <v>3037</v>
      </c>
      <c r="BC19" s="183">
        <f>SUBTOTAL(9,BC14:BC18)</f>
        <v>467</v>
      </c>
      <c r="BD19" s="204">
        <f>IF(ISNUMBER(BA19/AZ19),BA19/AZ19," - ")</f>
        <v>0.98728354978354982</v>
      </c>
      <c r="BE19" s="205">
        <f>IF(ISNUMBER(BB19/BA19),BB19/BA19, " - ")</f>
        <v>0.83228281721019459</v>
      </c>
      <c r="BF19" s="205">
        <f>IF(ISNUMBER(BC19/BA19),BC19/BA19, " - ")</f>
        <v>0.12798026856673062</v>
      </c>
      <c r="BG19" s="206">
        <f>IF(ISNUMBER((AY19+AZ19)/BA19),(AY19+AZ19)/BA19," - ")</f>
        <v>1.8251575774184707</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7093</v>
      </c>
      <c r="J20" s="134">
        <f t="shared" si="23"/>
        <v>7771</v>
      </c>
      <c r="K20" s="134">
        <f t="shared" si="23"/>
        <v>7720</v>
      </c>
      <c r="L20" s="134">
        <f t="shared" si="23"/>
        <v>7249</v>
      </c>
      <c r="M20" s="134">
        <f t="shared" si="23"/>
        <v>1846</v>
      </c>
      <c r="N20" s="134">
        <f t="shared" si="23"/>
        <v>4189</v>
      </c>
      <c r="O20" s="134">
        <f t="shared" si="23"/>
        <v>2156</v>
      </c>
      <c r="P20" s="134">
        <f t="shared" si="23"/>
        <v>1141</v>
      </c>
      <c r="Q20" s="134">
        <f t="shared" si="23"/>
        <v>1265</v>
      </c>
      <c r="R20" s="134">
        <f t="shared" si="23"/>
        <v>12726</v>
      </c>
      <c r="S20" s="134">
        <f t="shared" si="23"/>
        <v>9108</v>
      </c>
      <c r="T20" s="134">
        <f t="shared" si="23"/>
        <v>10341</v>
      </c>
      <c r="U20" s="134">
        <f t="shared" si="23"/>
        <v>8936</v>
      </c>
      <c r="V20" s="134">
        <f t="shared" si="23"/>
        <v>10551</v>
      </c>
      <c r="W20" s="134">
        <f t="shared" si="23"/>
        <v>2188</v>
      </c>
      <c r="X20" s="134">
        <f t="shared" si="23"/>
        <v>4691</v>
      </c>
      <c r="Y20" s="134">
        <f t="shared" si="23"/>
        <v>448</v>
      </c>
      <c r="Z20" s="134">
        <f t="shared" si="23"/>
        <v>768</v>
      </c>
      <c r="AA20" s="134">
        <f t="shared" si="23"/>
        <v>810</v>
      </c>
      <c r="AB20" s="134">
        <f t="shared" si="23"/>
        <v>406</v>
      </c>
      <c r="AC20" s="134">
        <f t="shared" si="23"/>
        <v>2</v>
      </c>
      <c r="AD20" s="134">
        <f t="shared" si="23"/>
        <v>31</v>
      </c>
      <c r="AE20" s="134">
        <f t="shared" si="23"/>
        <v>32</v>
      </c>
      <c r="AF20" s="134">
        <f t="shared" si="23"/>
        <v>1</v>
      </c>
      <c r="AG20" s="134">
        <f t="shared" si="23"/>
        <v>238</v>
      </c>
      <c r="AH20" s="134">
        <f t="shared" si="23"/>
        <v>530</v>
      </c>
      <c r="AI20" s="134">
        <f t="shared" si="23"/>
        <v>526</v>
      </c>
      <c r="AJ20" s="134">
        <f t="shared" si="23"/>
        <v>242</v>
      </c>
      <c r="AK20" s="134">
        <f t="shared" si="23"/>
        <v>0</v>
      </c>
      <c r="AL20" s="134">
        <f t="shared" si="23"/>
        <v>27</v>
      </c>
      <c r="AM20" s="134">
        <f t="shared" si="23"/>
        <v>27</v>
      </c>
      <c r="AN20" s="209">
        <f t="shared" si="23"/>
        <v>0</v>
      </c>
      <c r="AO20" s="210">
        <v>18</v>
      </c>
      <c r="AP20" s="210">
        <v>18</v>
      </c>
      <c r="AQ20" s="210">
        <v>17</v>
      </c>
      <c r="AR20" s="210">
        <v>17</v>
      </c>
      <c r="AS20" s="152">
        <f t="shared" si="23"/>
        <v>0</v>
      </c>
      <c r="AT20" s="152">
        <f t="shared" si="23"/>
        <v>0</v>
      </c>
      <c r="AU20" s="210"/>
      <c r="AV20" s="211"/>
      <c r="AW20" s="210"/>
      <c r="AX20" s="211"/>
      <c r="AY20" s="133">
        <f>SUBTOTAL(9,AY9:AY19)</f>
        <v>9346</v>
      </c>
      <c r="AZ20" s="134">
        <f>SUBTOTAL(9,AZ9:AZ19)</f>
        <v>10871</v>
      </c>
      <c r="BA20" s="134">
        <f>SUBTOTAL(9,BA9:BA19)</f>
        <v>9462</v>
      </c>
      <c r="BB20" s="134">
        <f>SUBTOTAL(9,BB9:BB19)</f>
        <v>10793</v>
      </c>
      <c r="BC20" s="135">
        <f>SUBTOTAL(9,BC9:BC19)</f>
        <v>2953</v>
      </c>
      <c r="BD20" s="212">
        <f>IF(ISNUMBER(BA20/AZ20),BA20/AZ20," - ")</f>
        <v>0.87038910863765984</v>
      </c>
      <c r="BE20" s="209">
        <f>IF(ISNUMBER(BB20/BA20),BB20/BA20, " - ")</f>
        <v>1.1406679348974846</v>
      </c>
      <c r="BF20" s="209">
        <f>IF(ISNUMBER(BC20/BA20),BC20/BA20, " - ")</f>
        <v>0.31209046713168465</v>
      </c>
      <c r="BG20" s="135">
        <f>IF(ISNUMBER((AY20+AZ20)/BA20),(AY20+AZ20)/BA20," - ")</f>
        <v>2.1366518706404567</v>
      </c>
      <c r="BH20" s="210">
        <f>SUBTOTAL(9,BH9:BH19)</f>
        <v>21</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J6+saudP7DdehuqDcZyBzrvAQo4TJb8notSb8RaWdKWgeR6Ns50QZt8ZY4wRQGkRTWeU3cFQSCeEek6h4Jj7w==" saltValue="lZt6AzT9Zt4bBSV3+eII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y8U83dXx5EMfIOK4h4s8kz932X8lnQKGOk+vRUFTXjRVt1jL85Lv630W0ByoMuFXWriw/SfLdSKvad/LNrwfw==" saltValue="/TKHGRTchlfarBQ5O8kUt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OVIEDO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10</v>
      </c>
      <c r="B9" s="1275" t="s">
        <v>247</v>
      </c>
      <c r="C9" s="1200" t="str">
        <f>Datos!A9</f>
        <v>Sección Civil del T.I</v>
      </c>
      <c r="D9" s="1276"/>
      <c r="E9" s="1226">
        <f>IF(ISNUMBER(Datos!AQ9),Datos!AQ9," - ")</f>
        <v>10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575</v>
      </c>
      <c r="O9" s="1247"/>
      <c r="P9" s="1247"/>
      <c r="Q9" s="1215">
        <f>IF(ISNUMBER(Datos!P9),Datos!P9,0)</f>
        <v>873</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1019</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280</v>
      </c>
      <c r="AI9" s="1247" t="str">
        <f>IF(ISNUMBER(Datos!CD9),Datos!CD9,"-")</f>
        <v>-</v>
      </c>
      <c r="AJ9" s="1247" t="str">
        <f>IF(ISNUMBER(Datos!EN9),Datos!EN9," - ")</f>
        <v xml:space="preserve"> - </v>
      </c>
      <c r="AK9" s="1247"/>
      <c r="AL9" s="1258"/>
      <c r="AM9" s="1248">
        <f>IF(ISNUMBER(Datos!R9),Datos!R9," - ")</f>
        <v>11673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1153</v>
      </c>
      <c r="BD9" s="1218">
        <f>IF(ISNUMBER(Datos!N9),Datos!N9," - ")</f>
        <v>1456</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1.0079404466501241</v>
      </c>
      <c r="BH9" s="1226">
        <f>IF(ISNUMBER(((IF(J_V="SI",Datos!L9/Datos!K9,(Datos!L9+Datos!AB9)/(Datos!K9+Datos!AA9)))*11)/factor_trimestre),((IF(J_V="SI",Datos!L9/Datos!K9,(Datos!L9+Datos!AB9)/(Datos!K9+Datos!AA9)))*11)/factor_trimestre," - ")</f>
        <v>3.2747415066469721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-1.2352990946780608E-2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74</v>
      </c>
      <c r="G10" s="1246">
        <f>IF(ISNUMBER(Datos!I10),Datos!I10," - ")</f>
        <v>74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43</v>
      </c>
      <c r="AC10" s="1215">
        <f>IF(ISNUMBER(Datos!Q10),Datos!Q10," - ")</f>
        <v>1</v>
      </c>
      <c r="AD10" s="1247"/>
      <c r="AE10" s="1262"/>
      <c r="AF10" s="1245">
        <f>IF(ISNUMBER(Datos!L10),Datos!L10,"-")</f>
        <v>85</v>
      </c>
      <c r="AG10" s="1247"/>
      <c r="AH10" s="1247"/>
      <c r="AI10" s="1247"/>
      <c r="AJ10" s="1247"/>
      <c r="AK10" s="1247"/>
      <c r="AL10" s="1258"/>
      <c r="AM10" s="1248">
        <f>IF(ISNUMBER(Datos!R10),Datos!R10," - ")</f>
        <v>74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22</v>
      </c>
      <c r="BD10" s="1218">
        <f>IF(ISNUMBER(Datos!N10),Datos!N10," - ")</f>
        <v>13</v>
      </c>
      <c r="BE10" s="1218" t="str">
        <f>IF(ISNUMBER(Datos!BW10),Datos!BW10," - ")</f>
        <v xml:space="preserve"> - </v>
      </c>
      <c r="BF10" s="1217" t="str">
        <f>IF(ISNUMBER(Datos!BX10),Datos!BX10," - ")</f>
        <v xml:space="preserve"> - </v>
      </c>
      <c r="BG10" s="1223">
        <f>IF(ISNUMBER(Datos!K10/Datos!J10),Datos!K10/Datos!J10," - ")</f>
        <v>0.79629629629629628</v>
      </c>
      <c r="BH10" s="1226">
        <f>IF(ISNUMBER(((Datos!L10/Datos!K10)*11)/factor_trimestre),((Datos!L10/Datos!K10)*11)/factor_trimestre," - ")</f>
        <v>5.9302325581395356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0.15625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193</v>
      </c>
      <c r="O11" s="1247"/>
      <c r="P11" s="1247"/>
      <c r="Q11" s="1215">
        <f>IF(ISNUMBER(Datos!P11),Datos!P11,0)</f>
        <v>46</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72</v>
      </c>
      <c r="AD11" s="1247"/>
      <c r="AE11" s="1262"/>
      <c r="AF11" s="1245" t="str">
        <f>IF(ISNUMBER(IF(J_V="SI",Datos!L11,Datos!L11+Datos!AB11)-IF(Monitorios="SI",Datos!CD11,0)),
                          IF(J_V="SI",Datos!L11,Datos!L11+Datos!AB11)-IF(Monitorios="SI",Datos!CD11,0),
                          " - ")</f>
        <v xml:space="preserve"> - </v>
      </c>
      <c r="AG11" s="1247"/>
      <c r="AH11" s="1247">
        <f>IF(ISNUMBER(Datos!AB11),Datos!AB11,"-")</f>
        <v>126</v>
      </c>
      <c r="AI11" s="1247"/>
      <c r="AJ11" s="1247"/>
      <c r="AK11" s="1247"/>
      <c r="AL11" s="1258"/>
      <c r="AM11" s="1248">
        <f>IF(ISNUMBER(Datos!R11),Datos!R11," - ")</f>
        <v>261</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131</v>
      </c>
      <c r="BD11" s="1218">
        <f>IF(ISNUMBER(Datos!N11),Datos!N11," - ")</f>
        <v>289</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0.88037383177570094</v>
      </c>
      <c r="BH11" s="1226">
        <f>IF(ISNUMBER(((IF(J_V="SI",Datos!L11/Datos!K11,(Datos!L11+Datos!AB11)/(Datos!K11+Datos!AA11)))*11)/factor_trimestre),((IF(J_V="SI",Datos!L11/Datos!K11,(Datos!L11+Datos!AB11)/(Datos!K11+Datos!AA11)))*11)/factor_trimestre," - ")</f>
        <v>2.9235668789808922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-9.0592334494773524E-2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13</v>
      </c>
      <c r="F13" s="1391">
        <f t="shared" si="0"/>
        <v>74</v>
      </c>
      <c r="G13" s="1391">
        <f t="shared" si="0"/>
        <v>74</v>
      </c>
      <c r="H13" s="1392">
        <f t="shared" si="0"/>
        <v>0</v>
      </c>
      <c r="I13" s="1391">
        <f t="shared" si="0"/>
        <v>0</v>
      </c>
      <c r="J13" s="1383">
        <f t="shared" si="0"/>
        <v>0</v>
      </c>
      <c r="K13" s="1383">
        <f t="shared" si="0"/>
        <v>0</v>
      </c>
      <c r="L13" s="1392">
        <f t="shared" si="0"/>
        <v>0</v>
      </c>
      <c r="M13" s="1392">
        <f t="shared" si="0"/>
        <v>0</v>
      </c>
      <c r="N13" s="1392">
        <f t="shared" si="0"/>
        <v>768</v>
      </c>
      <c r="O13" s="1393">
        <f t="shared" si="0"/>
        <v>0</v>
      </c>
      <c r="P13" s="1393">
        <f t="shared" si="0"/>
        <v>0</v>
      </c>
      <c r="Q13" s="1392">
        <f t="shared" si="0"/>
        <v>930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43</v>
      </c>
      <c r="AC13" s="1392">
        <f t="shared" si="1"/>
        <v>1092</v>
      </c>
      <c r="AD13" s="1392">
        <f t="shared" si="1"/>
        <v>0</v>
      </c>
      <c r="AE13" s="1392">
        <f t="shared" si="1"/>
        <v>0</v>
      </c>
      <c r="AF13" s="1392">
        <f t="shared" si="1"/>
        <v>85</v>
      </c>
      <c r="AG13" s="1392">
        <f t="shared" si="1"/>
        <v>0</v>
      </c>
      <c r="AH13" s="1392">
        <f t="shared" si="1"/>
        <v>406</v>
      </c>
      <c r="AI13" s="1392">
        <f t="shared" si="1"/>
        <v>0</v>
      </c>
      <c r="AJ13" s="1392">
        <f t="shared" si="1"/>
        <v>0</v>
      </c>
      <c r="AK13" s="1392">
        <f t="shared" si="1"/>
        <v>0</v>
      </c>
      <c r="AL13" s="1392">
        <f t="shared" si="1"/>
        <v>0</v>
      </c>
      <c r="AM13" s="1392">
        <f t="shared" si="1"/>
        <v>12008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1306</v>
      </c>
      <c r="BD13" s="1392">
        <f t="shared" si="1"/>
        <v>1758</v>
      </c>
      <c r="BE13" s="1392">
        <f t="shared" si="1"/>
        <v>0</v>
      </c>
      <c r="BF13" s="1392">
        <f t="shared" si="1"/>
        <v>0</v>
      </c>
      <c r="BG13" s="1392">
        <f>IF(ISNUMBER(Datos!K13/Datos!J13),Datos!K13/Datos!J13," - ")</f>
        <v>0.9779278109581927</v>
      </c>
      <c r="BH13" s="1396">
        <f>IF(ISNUMBER(((Datos!L13/Datos!K13)*11)/factor_trimestre),((Datos!L13/Datos!K13)*11)/factor_trimestre," - ")</f>
        <v>3.6420605416887946</v>
      </c>
      <c r="BI13" s="1392">
        <f>IF(ISNUMBER('Resol  Asuntos'!D13/NºAsuntos!G13),'Resol  Asuntos'!D13/NºAsuntos!G13," - ")</f>
        <v>0.28540209790209792</v>
      </c>
      <c r="BJ13" s="1392" t="str">
        <f>IF(ISNUMBER(Datos!CI13/Datos!CJ13),Datos!CI13/Datos!CJ13," - ")</f>
        <v xml:space="preserve"> - </v>
      </c>
      <c r="BK13" s="1392">
        <f>SUBTOTAL(9,BK8:BK12)</f>
        <v>0</v>
      </c>
      <c r="BL13" s="1392">
        <f>IF(ISNUMBER((I13-AB13+L13)/(F13)),(I13-AB13+L13)/(F13)," - ")</f>
        <v>-0.58108108108108103</v>
      </c>
      <c r="BM13" s="1397">
        <f>SUBTOTAL(9,BM9:BM12)</f>
        <v>5.3304674558445869E-2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4</v>
      </c>
      <c r="B15" s="1331" t="s">
        <v>397</v>
      </c>
      <c r="C15" s="1337" t="str">
        <f>Datos!A15</f>
        <v xml:space="preserve">Seccion Instruccion Del T.I.                   </v>
      </c>
      <c r="D15" s="1338"/>
      <c r="E15" s="1435">
        <f>IF(ISNUMBER(Datos!AQ15),Datos!AQ15," - ")</f>
        <v>4</v>
      </c>
      <c r="F15" s="1332">
        <f>IF(ISNUMBER(AF15+AB15-Datos!J15-L15),AF15+AB15-Datos!J15-L15," - ")</f>
        <v>2520</v>
      </c>
      <c r="G15" s="1335">
        <f>IF(ISNUMBER(IF(D_I="SI",Datos!I15,Datos!I15+Datos!AC15)),IF(D_I="SI",Datos!I15,Datos!I15+Datos!AC15)," - ")</f>
        <v>2386</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204</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3552</v>
      </c>
      <c r="AC15" s="1215">
        <f>IF(ISNUMBER(Datos!Q15),Datos!Q15," - ")</f>
        <v>169</v>
      </c>
      <c r="AD15" s="1247"/>
      <c r="AE15" s="1262"/>
      <c r="AF15" s="1333">
        <f>IF(ISNUMBER(IF(D_I="SI",Datos!L15,Datos!L15+Datos!AF15)),IF(D_I="SI",Datos!L15,Datos!L15+Datos!AF15)," - ")</f>
        <v>2451</v>
      </c>
      <c r="AG15" s="1247"/>
      <c r="AH15" s="1247"/>
      <c r="AI15" s="1247"/>
      <c r="AJ15" s="1247"/>
      <c r="AK15" s="1247"/>
      <c r="AL15" s="1258"/>
      <c r="AM15" s="1248">
        <f>IF(ISNUMBER(Datos!R15),Datos!R15," - ")</f>
        <v>709</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492</v>
      </c>
      <c r="BD15" s="1218">
        <f>IF(ISNUMBER(Datos!N15),Datos!N15," - ")</f>
        <v>2233</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1.0198105081826012</v>
      </c>
      <c r="BH15" s="1226">
        <f>IF(ISNUMBER(((IF(D_I="SI",Datos!L15/Datos!K15,(Datos!L15+Datos!AF15)/(Datos!K15+Datos!AE15)))*11)/factor_trimestre),((IF(D_I="SI",Datos!L15/Datos!K15,(Datos!L15+Datos!AF15)/(Datos!K15+Datos!AE15)))*11)/factor_trimestre," - ")</f>
        <v>2.0701013513513513</v>
      </c>
      <c r="BI15" s="1223">
        <f>IF(ISNUMBER('Resol  Asuntos'!D15/NºAsuntos!G15),'Resol  Asuntos'!D15/NºAsuntos!G15," - ")</f>
        <v>0.13851351351351351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208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7</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402</v>
      </c>
      <c r="AC18" s="1215">
        <f>IF(ISNUMBER(Datos!Q18),Datos!Q18," - ")</f>
        <v>4</v>
      </c>
      <c r="AD18" s="1247"/>
      <c r="AE18" s="1262"/>
      <c r="AF18" s="1245">
        <f>IF(ISNUMBER(Datos!L18),Datos!L18,"-")</f>
        <v>226</v>
      </c>
      <c r="AG18" s="1247"/>
      <c r="AH18" s="1247"/>
      <c r="AI18" s="1247"/>
      <c r="AJ18" s="1247"/>
      <c r="AK18" s="1247"/>
      <c r="AL18" s="1258"/>
      <c r="AM18" s="1248">
        <f>IF(ISNUMBER(Datos!R18),Datos!R18," - ")</f>
        <v>9</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48</v>
      </c>
      <c r="BD18" s="1218">
        <f>IF(ISNUMBER(Datos!N18),Datos!N18," - ")</f>
        <v>198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0.919908466819222</v>
      </c>
      <c r="BH18" s="1226">
        <f>IF(ISNUMBER(((IF(D_I="SI",Datos!L18/Datos!K18,(Datos!L18+Datos!AF18)/(Datos!K18+Datos!AE18)))*11)/factor_trimestre),((IF(D_I="SI",Datos!L18/Datos!K18,(Datos!L18+Datos!AF18)/(Datos!K18+Datos!AE18)))*11)/factor_trimestre," - ")</f>
        <v>1.6865671641791045</v>
      </c>
      <c r="BI18" s="1223">
        <f>IF(ISNUMBER('Resol  Asuntos'!D18/NºAsuntos!G18),'Resol  Asuntos'!D18/NºAsuntos!G18," - ")</f>
        <v>0.11940298507462686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2520</v>
      </c>
      <c r="G19" s="1391">
        <f>SUBTOTAL(9,G15:G18)</f>
        <v>2594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3954</v>
      </c>
      <c r="AC19" s="1392">
        <f t="shared" si="4"/>
        <v>173</v>
      </c>
      <c r="AD19" s="1392">
        <f t="shared" si="4"/>
        <v>0</v>
      </c>
      <c r="AE19" s="1392">
        <f t="shared" si="4"/>
        <v>0</v>
      </c>
      <c r="AF19" s="1392">
        <f t="shared" si="4"/>
        <v>2677</v>
      </c>
      <c r="AG19" s="1392">
        <f t="shared" si="4"/>
        <v>0</v>
      </c>
      <c r="AH19" s="1392">
        <f t="shared" si="4"/>
        <v>0</v>
      </c>
      <c r="AI19" s="1392">
        <f t="shared" si="4"/>
        <v>0</v>
      </c>
      <c r="AJ19" s="1392">
        <f t="shared" si="4"/>
        <v>0</v>
      </c>
      <c r="AK19" s="1392">
        <f t="shared" si="4"/>
        <v>0</v>
      </c>
      <c r="AL19" s="1392">
        <f t="shared" si="4"/>
        <v>0</v>
      </c>
      <c r="AM19" s="1392">
        <f t="shared" si="4"/>
        <v>718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540</v>
      </c>
      <c r="BD19" s="1392">
        <f t="shared" si="4"/>
        <v>2431</v>
      </c>
      <c r="BE19" s="1392">
        <f t="shared" si="4"/>
        <v>0</v>
      </c>
      <c r="BF19" s="1392">
        <f t="shared" si="4"/>
        <v>0</v>
      </c>
      <c r="BG19" s="1392">
        <f>IF(ISNUMBER(Datos!K19/Datos!J19),Datos!K19/Datos!J19," - ")</f>
        <v>1.008673469387755</v>
      </c>
      <c r="BH19" s="1396">
        <f>IF(ISNUMBER(((Datos!L19/Datos!K19)*11)/factor_trimestre),((Datos!L19/Datos!K19)*11)/factor_trimestre," - ")</f>
        <v>2.0311077389984824</v>
      </c>
      <c r="BI19" s="1392">
        <f>SUBTOTAL(9,BI15:BI18)</f>
        <v>0.25791649858814036</v>
      </c>
      <c r="BJ19" s="1392">
        <f>SUBTOTAL(9,BJ15:BJ18)</f>
        <v>0</v>
      </c>
      <c r="BK19" s="1392">
        <f>SUBTOTAL(9,BK15:BK18)</f>
        <v>0</v>
      </c>
      <c r="BL19" s="1392">
        <f>IF(ISNUMBER((I19-AB19+L19)/(F19)),(I19-AB19+L19)/(F19)," - ")</f>
        <v>-1.569047619047619</v>
      </c>
      <c r="BM19" s="1398">
        <f>IF(ISNUMBER((Datos!P19-Datos!Q19)/(Datos!R19-Datos!P19+Datos!Q19)),(Datos!P19-Datos!Q19)/(Datos!R19-Datos!P19+Datos!Q19)," - ")</f>
        <v>5.5882352941176473E-2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18</v>
      </c>
      <c r="F20" s="1367">
        <f t="shared" si="6"/>
        <v>2594</v>
      </c>
      <c r="G20" s="1367">
        <f t="shared" si="6"/>
        <v>2668</v>
      </c>
      <c r="H20" s="1369">
        <f t="shared" si="6"/>
        <v>0</v>
      </c>
      <c r="I20" s="1367">
        <f t="shared" si="6"/>
        <v>0</v>
      </c>
      <c r="J20" s="1369">
        <f t="shared" si="6"/>
        <v>0</v>
      </c>
      <c r="K20" s="1369">
        <f t="shared" si="6"/>
        <v>0</v>
      </c>
      <c r="L20" s="1386">
        <f t="shared" si="6"/>
        <v>0</v>
      </c>
      <c r="M20" s="1386">
        <f t="shared" si="6"/>
        <v>0</v>
      </c>
      <c r="N20" s="1386">
        <f t="shared" si="6"/>
        <v>768</v>
      </c>
      <c r="O20" s="1386">
        <f t="shared" si="6"/>
        <v>0</v>
      </c>
      <c r="P20" s="1386">
        <f t="shared" si="6"/>
        <v>0</v>
      </c>
      <c r="Q20" s="1369">
        <f t="shared" si="6"/>
        <v>1141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3997</v>
      </c>
      <c r="AC20" s="1368">
        <f t="shared" si="7"/>
        <v>1265</v>
      </c>
      <c r="AD20" s="1368">
        <f t="shared" si="7"/>
        <v>0</v>
      </c>
      <c r="AE20" s="1368">
        <f t="shared" si="7"/>
        <v>0</v>
      </c>
      <c r="AF20" s="1371">
        <f t="shared" si="7"/>
        <v>2762</v>
      </c>
      <c r="AG20" s="1371">
        <f t="shared" si="7"/>
        <v>0</v>
      </c>
      <c r="AH20" s="1371">
        <f t="shared" si="7"/>
        <v>406</v>
      </c>
      <c r="AI20" s="1371">
        <f t="shared" si="7"/>
        <v>0</v>
      </c>
      <c r="AJ20" s="1368">
        <f t="shared" si="7"/>
        <v>0</v>
      </c>
      <c r="AK20" s="1371">
        <f t="shared" si="7"/>
        <v>0</v>
      </c>
      <c r="AL20" s="1371">
        <f t="shared" si="7"/>
        <v>0</v>
      </c>
      <c r="AM20" s="1371">
        <f t="shared" si="7"/>
        <v>12726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1846</v>
      </c>
      <c r="BD20" s="1367">
        <f t="shared" si="7"/>
        <v>4189</v>
      </c>
      <c r="BE20" s="1367">
        <f t="shared" si="7"/>
        <v>0</v>
      </c>
      <c r="BF20" s="1373">
        <f t="shared" si="7"/>
        <v>0</v>
      </c>
      <c r="BG20" s="1404">
        <f>IF(ISNUMBER(Datos!K20/Datos!J20),Datos!K20/Datos!J20," - ")</f>
        <v>0.99343713807746747</v>
      </c>
      <c r="BH20" s="1404">
        <f>IF(ISNUMBER(((Datos!L20/Datos!K20)*11)/factor_trimestre),((Datos!L20/Datos!K20)*11)/factor_trimestre," - ")</f>
        <v>2.8169689119170984</v>
      </c>
      <c r="BI20" s="1362">
        <f>IF(ISNUMBER(Datos!J20/Datos!I20),Datos!J20/Datos!I20," - ")</f>
        <v>1.0955871986465529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-1.540863531225906</v>
      </c>
      <c r="BM20" s="1387">
        <f>IF(ISNUMBER((Datos!P20-Datos!Q20+R20)/(Datos!R20-Datos!P20+Datos!Q20-R20)),(Datos!P20-Datos!Q20+R20)/(Datos!R20-Datos!P20+Datos!Q20-R20)," - ")</f>
        <v>-9.6498054474708165E-3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1067.2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4.5509461775669369</v>
      </c>
      <c r="F22" s="1298">
        <f>IF(ISNUMBER(STDEV(F8:F19)),STDEV(F8:F19),"-")</f>
        <v>1412.1987584378246</v>
      </c>
      <c r="G22" s="1299">
        <f>IF(ISNUMBER(STDEV(G8:G19)),STDEV(G8:G19),"-")</f>
        <v>1302.0626713027295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1977.0757952086713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523.03468882502023</v>
      </c>
      <c r="BD22" s="1298"/>
      <c r="BE22" s="1298">
        <f>IF(ISNUMBER(STDEV(BE8:BE19)),STDEV(BE8:BE19),"-")</f>
        <v>0</v>
      </c>
      <c r="BF22" s="1303">
        <f>IF(ISNUMBER(STDEV(BF8:BF19)),STDEV(BF8:BF19),"-")</f>
        <v>0</v>
      </c>
      <c r="BG22" s="1360">
        <f>IF(ISNUMBER(STDEV(BG8:BG19)),STDEV(BG8:BG19),"-")</f>
        <v>8.3279865614097628E-2</v>
      </c>
      <c r="BH22" s="1361">
        <f>IF(ISNUMBER(STDEV(BH8:BH19)),STDEV(BH8:BH19),"-")</f>
        <v>1.4470578318021159</v>
      </c>
      <c r="BI22" s="1224">
        <f>IF(ISNUMBER(STDEV(BI8:BI19)),STDEV(BI8:BI19),"-")</f>
        <v>8.3514319341376334E-2</v>
      </c>
      <c r="BJ22" s="1219" t="str">
        <f>IF(ISNUMBER(BL22/BM22),BL22/BM22," - ")</f>
        <v xml:space="preserve"> - </v>
      </c>
      <c r="BK22" s="1320"/>
      <c r="BL22" s="1306">
        <f>IF(ISNUMBER(STDEV(BL8:BL19)),STDEV(BL8:BL19),"-")</f>
        <v>0.6985978385815359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O4wfBUUjOm3m4zVwIer906TmSMvNRiIHZx8tQ4ZhHajOfB+Pd/qr13GCac3lqNZErMrDF8pADNxCA868Q06A==" saltValue="O59LGg+i+pUkopxjKhbT/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OVIEDO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873</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1019</v>
      </c>
      <c r="AA9" s="331" t="str">
        <f>IF(ISNUMBER(IF(J_V="SI",Datos!L9,Datos!L9+Datos!AB9)-IF(Monitorios="SI",Datos!CD9,0)),
                          IF(J_V="SI",Datos!L9,Datos!L9+Datos!AB9)-IF(Monitorios="SI",Datos!CD9,0),
                          " - ")</f>
        <v xml:space="preserve"> - </v>
      </c>
      <c r="AB9" s="333"/>
      <c r="AC9" s="333"/>
      <c r="AD9" s="483"/>
      <c r="AE9" s="483">
        <f>IF(ISNUMBER(Datos!R9),Datos!R9," - ")</f>
        <v>11673</v>
      </c>
      <c r="AF9" s="228" t="str">
        <f>IF(ISNUMBER(Datos!BV9),Datos!BV9," - ")</f>
        <v xml:space="preserve"> - </v>
      </c>
      <c r="AG9" s="224" t="str">
        <f>IF(ISNUMBER(Datos!DV9),Datos!DV9," - ")</f>
        <v xml:space="preserve"> - </v>
      </c>
      <c r="AH9" s="297"/>
      <c r="AI9" s="226"/>
      <c r="AJ9" s="224">
        <f>IF(ISNUMBER(Datos!M9),Datos!M9," - ")</f>
        <v>1153</v>
      </c>
      <c r="AK9" s="228">
        <f>IF(ISNUMBER(Datos!N9),Datos!N9," - ")</f>
        <v>1456</v>
      </c>
      <c r="AL9" s="228" t="str">
        <f>IF(ISNUMBER(Datos!BW9),Datos!BW9," - ")</f>
        <v xml:space="preserve"> - </v>
      </c>
      <c r="AM9" s="227" t="str">
        <f>IF(ISNUMBER(Datos!BX9),Datos!BX9," - ")</f>
        <v xml:space="preserve"> - </v>
      </c>
      <c r="AN9" s="242"/>
      <c r="AO9" s="259">
        <f>IF(ISNUMBER(((NºAsuntos!I9/NºAsuntos!G9)*11)/factor_trimestre),((NºAsuntos!I9/NºAsuntos!G9)*11)/factor_trimestre," - ")</f>
        <v>3.2747415066469721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-1.2352990946780608E-2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74</v>
      </c>
      <c r="G10" s="224">
        <f>IF(ISNUMBER(Datos!I10),Datos!I10," - ")</f>
        <v>74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43</v>
      </c>
      <c r="Z10" s="617">
        <f>IF(ISNUMBER(Datos!Q10),Datos!Q10," - ")</f>
        <v>1</v>
      </c>
      <c r="AA10" s="331">
        <f>IF(ISNUMBER(Datos!L10),Datos!L10,"-")</f>
        <v>85</v>
      </c>
      <c r="AB10" s="333"/>
      <c r="AC10" s="333"/>
      <c r="AD10" s="483"/>
      <c r="AE10" s="483">
        <f>IF(ISNUMBER(Datos!R10),Datos!R10," - ")</f>
        <v>74</v>
      </c>
      <c r="AF10" s="228" t="str">
        <f>IF(ISNUMBER(Datos!BV10),Datos!BV10," - ")</f>
        <v xml:space="preserve"> - </v>
      </c>
      <c r="AG10" s="224" t="str">
        <f>IF(ISNUMBER(Datos!DV10),Datos!DV10," - ")</f>
        <v xml:space="preserve"> - </v>
      </c>
      <c r="AH10" s="297"/>
      <c r="AI10" s="226"/>
      <c r="AJ10" s="224">
        <f>IF(ISNUMBER(Datos!M10),Datos!M10," - ")</f>
        <v>22</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5.9302325581395356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0.15625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46</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72</v>
      </c>
      <c r="AA11" s="331" t="str">
        <f>IF(ISNUMBER(IF(J_V="SI",Datos!L11,Datos!L11+Datos!AB11)-IF(Monitorios="SI",Datos!CD11,0)),
                          IF(J_V="SI",Datos!L11,Datos!L11+Datos!AB11)-IF(Monitorios="SI",Datos!CD11,0),
                          " - ")</f>
        <v xml:space="preserve"> - </v>
      </c>
      <c r="AB11" s="333"/>
      <c r="AC11" s="333"/>
      <c r="AD11" s="483"/>
      <c r="AE11" s="483">
        <f>IF(ISNUMBER(Datos!R11),Datos!R11," - ")</f>
        <v>261</v>
      </c>
      <c r="AF11" s="228" t="str">
        <f>IF(ISNUMBER(Datos!BV11),Datos!BV11," - ")</f>
        <v xml:space="preserve"> - </v>
      </c>
      <c r="AG11" s="224" t="str">
        <f>IF(ISNUMBER(Datos!DV11),Datos!DV11," - ")</f>
        <v xml:space="preserve"> - </v>
      </c>
      <c r="AH11" s="297"/>
      <c r="AI11" s="226"/>
      <c r="AJ11" s="224">
        <f>IF(ISNUMBER(Datos!M11),Datos!M11," - ")</f>
        <v>131</v>
      </c>
      <c r="AK11" s="228">
        <f>IF(ISNUMBER(Datos!N11),Datos!N11," - ")</f>
        <v>289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2.9235668789808922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-9.0592334494773524E-2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13</v>
      </c>
      <c r="F13" s="895">
        <f>SUBTOTAL(9,F8:F12)</f>
        <v>74</v>
      </c>
      <c r="G13" s="895">
        <f>SUBTOTAL(9,G8:G12)</f>
        <v>74</v>
      </c>
      <c r="H13" s="905"/>
      <c r="I13" s="895">
        <f t="shared" ref="I13:N13" si="0">SUBTOTAL(9,I8:I12)</f>
        <v>0</v>
      </c>
      <c r="J13" s="864">
        <f t="shared" si="0"/>
        <v>0</v>
      </c>
      <c r="K13" s="905">
        <f t="shared" si="0"/>
        <v>0</v>
      </c>
      <c r="L13" s="905">
        <f t="shared" si="0"/>
        <v>0</v>
      </c>
      <c r="M13" s="905">
        <f t="shared" si="0"/>
        <v>0</v>
      </c>
      <c r="N13" s="905">
        <f t="shared" si="0"/>
        <v>930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43</v>
      </c>
      <c r="Z13" s="904">
        <f t="shared" si="2"/>
        <v>1092</v>
      </c>
      <c r="AA13" s="897">
        <f t="shared" si="2"/>
        <v>85</v>
      </c>
      <c r="AB13" s="897">
        <f t="shared" si="2"/>
        <v>0</v>
      </c>
      <c r="AC13" s="897">
        <f t="shared" si="2"/>
        <v>0</v>
      </c>
      <c r="AD13" s="897">
        <f t="shared" si="2"/>
        <v>0</v>
      </c>
      <c r="AE13" s="897">
        <f t="shared" si="2"/>
        <v>12008</v>
      </c>
      <c r="AF13" s="905">
        <f t="shared" si="2"/>
        <v>0</v>
      </c>
      <c r="AG13" s="905">
        <f t="shared" si="2"/>
        <v>0</v>
      </c>
      <c r="AH13" s="905">
        <f t="shared" si="2"/>
        <v>0</v>
      </c>
      <c r="AI13" s="905">
        <f t="shared" si="2"/>
        <v>0</v>
      </c>
      <c r="AJ13" s="905">
        <f t="shared" si="2"/>
        <v>1306</v>
      </c>
      <c r="AK13" s="905">
        <f t="shared" si="2"/>
        <v>1758</v>
      </c>
      <c r="AL13" s="905">
        <f t="shared" si="2"/>
        <v>0</v>
      </c>
      <c r="AM13" s="905">
        <f t="shared" si="2"/>
        <v>0</v>
      </c>
      <c r="AN13" s="905">
        <f t="shared" si="2"/>
        <v>0</v>
      </c>
      <c r="AO13" s="901">
        <f>IF(ISNUMBER(((NºAsuntos!I13/NºAsuntos!G13)*11)/factor_trimestre),((NºAsuntos!I13/NºAsuntos!G13)*11)/factor_trimestre," - ")</f>
        <v>3.2635489510489517</v>
      </c>
      <c r="AP13" s="907" t="str">
        <f>IF(ISNUMBER(Datos!CI13/Datos!CJ13),Datos!CI13/Datos!CJ13," - ")</f>
        <v xml:space="preserve"> - </v>
      </c>
      <c r="AQ13" s="923">
        <f t="shared" ref="AQ13:AV13" si="3">SUBTOTAL(9,AQ9:AQ12)</f>
        <v>0</v>
      </c>
      <c r="AR13" s="923">
        <f t="shared" si="3"/>
        <v>5.3304674558445869E-2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4</v>
      </c>
      <c r="B15" s="506" t="s">
        <v>397</v>
      </c>
      <c r="C15" s="159" t="str">
        <f>Datos!A15</f>
        <v xml:space="preserve">Seccion Instruccion Del T.I.                   </v>
      </c>
      <c r="D15" s="501"/>
      <c r="E15" s="1163">
        <f>IF(ISNUMBER(Datos!AQ15),Datos!AQ15," - ")</f>
        <v>4</v>
      </c>
      <c r="F15" s="332">
        <f>IF(ISNUMBER(AA15+Y15-Datos!J15-K15),AA15+Y15-Datos!J15-K15," - ")</f>
        <v>2520</v>
      </c>
      <c r="G15" s="224">
        <f>IF(ISNUMBER(IF(D_I="SI",Datos!I15,Datos!I15+Datos!AC15)),IF(D_I="SI",Datos!I15,Datos!I15+Datos!AC15)," - ")</f>
        <v>2386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204</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3552</v>
      </c>
      <c r="Z15" s="617">
        <f>IF(ISNUMBER(Datos!Q15),Datos!Q15," - ")</f>
        <v>169</v>
      </c>
      <c r="AA15" s="331">
        <f>IF(ISNUMBER(IF(D_I="SI",Datos!L15,Datos!L15+Datos!AF15)),IF(D_I="SI",Datos!L15,Datos!L15+Datos!AF15)," - ")</f>
        <v>2451</v>
      </c>
      <c r="AB15" s="333"/>
      <c r="AC15" s="333"/>
      <c r="AD15" s="483"/>
      <c r="AE15" s="483">
        <f>IF(ISNUMBER(Datos!R15),Datos!R15," - ")</f>
        <v>709</v>
      </c>
      <c r="AF15" s="228" t="str">
        <f>IF(ISNUMBER(Datos!BV15),Datos!BV15," - ")</f>
        <v xml:space="preserve"> - </v>
      </c>
      <c r="AG15" s="224"/>
      <c r="AH15" s="297"/>
      <c r="AI15" s="226"/>
      <c r="AJ15" s="224">
        <f>IF(ISNUMBER(Datos!M15),Datos!M15," - ")</f>
        <v>492</v>
      </c>
      <c r="AK15" s="228">
        <f>IF(ISNUMBER(Datos!N15),Datos!N15," - ")</f>
        <v>2233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2.0701013513513513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208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7</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402</v>
      </c>
      <c r="Z18" s="617">
        <f>IF(ISNUMBER(Datos!Q18),Datos!Q18," - ")</f>
        <v>4</v>
      </c>
      <c r="AA18" s="331">
        <f>IF(ISNUMBER(Datos!L18),Datos!L18,"-")</f>
        <v>226</v>
      </c>
      <c r="AB18" s="333"/>
      <c r="AC18" s="333"/>
      <c r="AD18" s="483"/>
      <c r="AE18" s="483">
        <f>IF(ISNUMBER(Datos!R18),Datos!R18," - ")</f>
        <v>9</v>
      </c>
      <c r="AF18" s="228" t="str">
        <f>IF(ISNUMBER(Datos!BV18),Datos!BV18," - ")</f>
        <v xml:space="preserve"> - </v>
      </c>
      <c r="AG18" s="224" t="str">
        <f>IF(ISNUMBER(Datos!DV18),Datos!DV18," - ")</f>
        <v xml:space="preserve"> - </v>
      </c>
      <c r="AH18" s="297"/>
      <c r="AI18" s="226"/>
      <c r="AJ18" s="224">
        <f>IF(ISNUMBER(Datos!M18),Datos!M18," - ")</f>
        <v>48</v>
      </c>
      <c r="AK18" s="228">
        <f>IF(ISNUMBER(Datos!N18),Datos!N18," - ")</f>
        <v>198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1.6865671641791045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2520</v>
      </c>
      <c r="G19" s="895">
        <f>SUBTOTAL(9,G15:G18)</f>
        <v>2594</v>
      </c>
      <c r="H19" s="927">
        <f>SUBTOTAL(9,H15:H18)</f>
        <v>0</v>
      </c>
      <c r="I19" s="908">
        <f>SUBTOTAL(9,I15:I18)</f>
        <v>0</v>
      </c>
      <c r="J19" s="864">
        <f>SUBTOTAL(9,J14:J18)</f>
        <v>0</v>
      </c>
      <c r="K19" s="927">
        <f t="shared" ref="K19:S19" si="4">SUBTOTAL(9,K15:K18)</f>
        <v>0</v>
      </c>
      <c r="L19" s="927">
        <f t="shared" si="4"/>
        <v>0</v>
      </c>
      <c r="M19" s="927">
        <f t="shared" si="4"/>
        <v>0</v>
      </c>
      <c r="N19" s="927">
        <f t="shared" si="4"/>
        <v>211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3954</v>
      </c>
      <c r="Z19" s="927">
        <f t="shared" si="5"/>
        <v>173</v>
      </c>
      <c r="AA19" s="927">
        <f t="shared" si="5"/>
        <v>2677</v>
      </c>
      <c r="AB19" s="927">
        <f t="shared" si="5"/>
        <v>0</v>
      </c>
      <c r="AC19" s="927">
        <f t="shared" si="5"/>
        <v>0</v>
      </c>
      <c r="AD19" s="927">
        <f t="shared" si="5"/>
        <v>0</v>
      </c>
      <c r="AE19" s="927">
        <f t="shared" si="5"/>
        <v>718</v>
      </c>
      <c r="AF19" s="927">
        <f t="shared" si="5"/>
        <v>0</v>
      </c>
      <c r="AG19" s="927">
        <f t="shared" si="5"/>
        <v>0</v>
      </c>
      <c r="AH19" s="927">
        <f t="shared" si="5"/>
        <v>0</v>
      </c>
      <c r="AI19" s="927">
        <f t="shared" si="5"/>
        <v>0</v>
      </c>
      <c r="AJ19" s="927">
        <f t="shared" si="5"/>
        <v>540</v>
      </c>
      <c r="AK19" s="927">
        <f t="shared" si="5"/>
        <v>2431</v>
      </c>
      <c r="AL19" s="927">
        <f t="shared" si="5"/>
        <v>0</v>
      </c>
      <c r="AM19" s="927">
        <f t="shared" si="5"/>
        <v>0</v>
      </c>
      <c r="AN19" s="927">
        <f t="shared" si="5"/>
        <v>0</v>
      </c>
      <c r="AO19" s="929">
        <f>IF(ISNUMBER(((NºAsuntos!I19/NºAsuntos!G19)*11)/factor_trimestre),((NºAsuntos!I19/NºAsuntos!G19)*11)/factor_trimestre," - ")</f>
        <v>2.0311077389984824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18</v>
      </c>
      <c r="F20" s="817">
        <f t="shared" si="7"/>
        <v>2594</v>
      </c>
      <c r="G20" s="817">
        <f t="shared" si="7"/>
        <v>2668</v>
      </c>
      <c r="H20" s="818">
        <f t="shared" si="7"/>
        <v>0</v>
      </c>
      <c r="I20" s="817">
        <f t="shared" si="7"/>
        <v>0</v>
      </c>
      <c r="J20" s="819">
        <f t="shared" si="7"/>
        <v>0</v>
      </c>
      <c r="K20" s="817">
        <f t="shared" si="7"/>
        <v>0</v>
      </c>
      <c r="L20" s="820">
        <f t="shared" si="7"/>
        <v>0</v>
      </c>
      <c r="M20" s="817">
        <f t="shared" si="7"/>
        <v>0</v>
      </c>
      <c r="N20" s="818">
        <f t="shared" si="7"/>
        <v>1141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3997</v>
      </c>
      <c r="Z20" s="824">
        <f t="shared" si="8"/>
        <v>1265</v>
      </c>
      <c r="AA20" s="825">
        <f t="shared" si="8"/>
        <v>2762</v>
      </c>
      <c r="AB20" s="825">
        <f t="shared" si="8"/>
        <v>0</v>
      </c>
      <c r="AC20" s="825">
        <f t="shared" si="8"/>
        <v>0</v>
      </c>
      <c r="AD20" s="826">
        <f t="shared" si="8"/>
        <v>0</v>
      </c>
      <c r="AE20" s="826">
        <f t="shared" si="8"/>
        <v>12726</v>
      </c>
      <c r="AF20" s="827">
        <f t="shared" si="8"/>
        <v>0</v>
      </c>
      <c r="AG20" s="828">
        <f t="shared" si="8"/>
        <v>0</v>
      </c>
      <c r="AH20" s="829">
        <f t="shared" si="8"/>
        <v>0</v>
      </c>
      <c r="AI20" s="827">
        <f t="shared" si="8"/>
        <v>0</v>
      </c>
      <c r="AJ20" s="817">
        <f t="shared" si="8"/>
        <v>1846</v>
      </c>
      <c r="AK20" s="817">
        <f t="shared" si="8"/>
        <v>4189</v>
      </c>
      <c r="AL20" s="817">
        <f t="shared" si="8"/>
        <v>0</v>
      </c>
      <c r="AM20" s="830">
        <f t="shared" si="8"/>
        <v>0</v>
      </c>
      <c r="AN20" s="820">
        <f>IF(ISNUMBER(Datos!K20/Datos!J20),Datos!K20/Datos!J20," - ")</f>
        <v>0.99343713807746747</v>
      </c>
      <c r="AO20" s="820">
        <f>IF(ISNUMBER(FIND("06",Criterios!A8,1)),(IF(ISNUMBER(((Datos!R20/Datos!Q20)*11)/factor_trimestre),((Datos!R20/Datos!Q20)*11)/factor_trimestre," - ")),(IF(ISNUMBER(((Datos!L20/Datos!K20)*11)/factor_trimestre),((Datos!L20/Datos!K20)*11)/factor_trimestre," - ")))</f>
        <v>2.8169689119170984</v>
      </c>
      <c r="AP20" s="831" t="str">
        <f>IF(ISNUMBER(Datos!CI20/Datos!CJ20),Datos!CI20/Datos!CJ20," - ")</f>
        <v xml:space="preserve"> - </v>
      </c>
      <c r="AQ20" s="831">
        <f>IF(OR(ISNUMBER(FIND("01",Criterios!A8,1)),ISNUMBER(FIND("02",Criterios!A8,1)),ISNUMBER(FIND("03",Criterios!A8,1)),ISNUMBER(FIND("04",Criterios!A8,1))),(J20-Y20+K20)/(F20-K20),(I20-Y20+K20)/(F20-K20))</f>
        <v>-1.540863531225906</v>
      </c>
      <c r="AR20" s="831">
        <f>IF(ISNUMBER((Datos!P20-Datos!Q20+O20)/(Datos!R20-Datos!P20+Datos!Q20-O20)),(Datos!P20-Datos!Q20+O20)/(Datos!R20-Datos!P20+Datos!Q20-O20)," - ")</f>
        <v>-9.6498054474708165E-3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1067.2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1412.1987584378246</v>
      </c>
      <c r="G22" s="551">
        <f>IF(ISNUMBER(STDEV(G8:G19)),STDEV(G8:G19),"-")</f>
        <v>1302.0626713027295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523.03468882502023</v>
      </c>
      <c r="AK22" s="251"/>
      <c r="AL22" s="251">
        <f>IF(ISNUMBER(STDEV(AL8:AL19)),STDEV(AL8:AL19),"-")</f>
        <v>0</v>
      </c>
      <c r="AM22" s="253">
        <f>IF(ISNUMBER(STDEV(AM8:AM19)),STDEV(AM8:AM19),"-")</f>
        <v>0</v>
      </c>
      <c r="AN22" s="538">
        <f>IF(ISNUMBER(STDEV(AN8:AN19)),STDEV(AN8:AN19),"-")</f>
        <v>0</v>
      </c>
      <c r="AO22" s="539">
        <f>IF(ISNUMBER(STDEV(AO8:AO19)),STDEV(AO8:AO19),"-")</f>
        <v>1.4295100352919878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OLQfwyvANOlM+PjeWc16TZGL1oPqz15McQBGJSbSQSIKUyEAobj6fJzdVBWG7KZyWMR5zKFq+FBfNm3AsqVtg==" saltValue="bYyWMgWlvm1sd/4HOgVP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KLqwNMf4f+nVOgyNYyqK3cqx5pKXoX1U0aiKmAbafISwiAO3Gn8PepNlv0h5y6xHOgmXWwzDTpCtXyOYfDOA==" saltValue="IJdGkzALfjvxP9VkHlGI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myNiII4oBLdwTWo79Pru6JqIy8GrIzpcPWlha3OHtxQkCmnK51DMEPEkos8snXbTPK/RW4AKBHx/iT/8fq2bQ==" saltValue="5OFXdvAOO0GF2kpKxmNiN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OVIEDO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0.28540209790209792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0.20180975879144036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TDd+1qWu3wXPP71/w5Ophg+1Akvst3pln0kzQj70U3VIFe69BL+yaj9xZD1JPMez9y7Nu9aoKZtUIkpW8DouQ==" saltValue="NAklBBCU2+AjPpUR+eU8s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6MPTx6bvw0YYHeCWb8HXoHP9iFL+XGcvDRa1NsVO9jLQv0oiZfen2t9synXbszddS3zQbixvHnLGiiiLlJwGYA==" saltValue="M3USSF8EML9NaC+H/Nhd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OVIEDO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10</v>
      </c>
      <c r="C9" s="402">
        <f>IF(ISNUMBER(IF(J_V="SI",Datos!I9,Datos!I9+Datos!Y9)),IF(J_V="SI",Datos!I9,Datos!I9+Datos!Y9)," - ")</f>
        <v>4478</v>
      </c>
      <c r="D9" s="403">
        <f>IF(ISNUMBER(C9/Datos!BH9),C9/Datos!BH9," - ")</f>
        <v>447.8</v>
      </c>
      <c r="E9" s="402">
        <f>IF(ISNUMBER(IF(J_V="SI",Datos!J9,Datos!J9+Datos!Z9)),IF(J_V="SI",Datos!J9,Datos!J9+Datos!Z9)," - ")</f>
        <v>4030</v>
      </c>
      <c r="F9" s="403">
        <f>IF(ISNUMBER(E9/B9),E9/B9," - ")</f>
        <v>403</v>
      </c>
      <c r="G9" s="402">
        <f>IF(ISNUMBER(IF(J_V="SI",Datos!K9,Datos!K9+Datos!AA9)),IF(J_V="SI",Datos!K9,Datos!K9+Datos!AA9)," - ")</f>
        <v>4062</v>
      </c>
      <c r="H9" s="403">
        <f>IF(ISNUMBER(G9/B9),G9/B9," - ")</f>
        <v>406.2</v>
      </c>
      <c r="I9" s="402">
        <f>IF(ISNUMBER(IF(J_V="SI",Datos!L9,Datos!L9+Datos!AB9)),IF(J_V="SI",Datos!L9,Datos!L9+Datos!AB9)," - ")</f>
        <v>4434</v>
      </c>
      <c r="J9" s="403">
        <f>IF(ISNUMBER(I9/B9),I9/B9," - ")</f>
        <v>443.4</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74</v>
      </c>
      <c r="D10" s="403">
        <f>IF(ISNUMBER(C10/Datos!BH10),C10/Datos!BH10," - ")</f>
        <v>74</v>
      </c>
      <c r="E10" s="402">
        <f>IF(ISNUMBER(Datos!J10),Datos!J10," - ")</f>
        <v>54</v>
      </c>
      <c r="F10" s="403">
        <f>IF(ISNUMBER(E10/B10),E10/B10," - ")</f>
        <v>54</v>
      </c>
      <c r="G10" s="402">
        <f>IF(ISNUMBER(Datos!K10),Datos!K10," - ")</f>
        <v>43</v>
      </c>
      <c r="H10" s="403">
        <f>IF(ISNUMBER(G10/B10),G10/B10," - ")</f>
        <v>43</v>
      </c>
      <c r="I10" s="402">
        <f>IF(ISNUMBER(Datos!L10),Datos!L10," - ")</f>
        <v>85</v>
      </c>
      <c r="J10" s="403">
        <f>IF(ISNUMBER(I10/B10),I10/B10," - ")</f>
        <v>85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395</v>
      </c>
      <c r="D11" s="403">
        <f>IF(ISNUMBER(C11/Datos!BH11),C11/Datos!BH11," - ")</f>
        <v>79</v>
      </c>
      <c r="E11" s="402">
        <f>IF(ISNUMBER(IF(J_V="SI",Datos!J11,Datos!J11+Datos!Z11)),IF(J_V="SI",Datos!J11,Datos!J11+Datos!Z11)," - ")</f>
        <v>535</v>
      </c>
      <c r="F11" s="403">
        <f>IF(ISNUMBER(E11/B11),E11/B11," - ")</f>
        <v>178.33333333333334</v>
      </c>
      <c r="G11" s="402">
        <f>IF(ISNUMBER(IF(J_V="SI",Datos!K11,Datos!K11+Datos!AA11)),IF(J_V="SI",Datos!K11,Datos!K11+Datos!AA11)," - ")</f>
        <v>471</v>
      </c>
      <c r="H11" s="403">
        <f>IF(ISNUMBER(G11/B11),G11/B11," - ")</f>
        <v>157</v>
      </c>
      <c r="I11" s="402">
        <f>IF(ISNUMBER(IF(J_V="SI",Datos!L11,Datos!L11+Datos!AB11)),IF(J_V="SI",Datos!L11,Datos!L11+Datos!AB11)," - ")</f>
        <v>459</v>
      </c>
      <c r="J11" s="403">
        <f>IF(ISNUMBER(I11/B11),I11/B11," - ")</f>
        <v>153</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14</v>
      </c>
      <c r="C13" s="846">
        <f>SUBTOTAL(9,C8:C12)</f>
        <v>4947</v>
      </c>
      <c r="D13" s="847" t="str">
        <f>IF(ISNUMBER(C13/Datos!BI13),C13/Datos!BI13," - ")</f>
        <v xml:space="preserve"> - </v>
      </c>
      <c r="E13" s="846">
        <f>SUBTOTAL(9,E8:E12)</f>
        <v>4619</v>
      </c>
      <c r="F13" s="847">
        <f>IF(ISNUMBER(E13/B13),E13/B13," - ")</f>
        <v>329.92857142857144</v>
      </c>
      <c r="G13" s="846">
        <f>SUBTOTAL(9,G8:G12)</f>
        <v>4576</v>
      </c>
      <c r="H13" s="847">
        <f>IF(ISNUMBER(G13/B13),G13/B13," - ")</f>
        <v>326.85714285714283</v>
      </c>
      <c r="I13" s="846">
        <f>SUBTOTAL(9,I8:I12)</f>
        <v>4978</v>
      </c>
      <c r="J13" s="847">
        <f>IF(ISNUMBER(I13/B13),I13/B13," - ")</f>
        <v>355.57142857142856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4</v>
      </c>
      <c r="C15" s="402">
        <f>IF(ISNUMBER(IF(D_I="SI",Datos!I15,Datos!I15+Datos!AC15)),IF(D_I="SI",Datos!I15,Datos!I15+Datos!AC15)," - ")</f>
        <v>2386</v>
      </c>
      <c r="D15" s="403">
        <f>IF(ISNUMBER(C15/Datos!BH15),C15/Datos!BH15," - ")</f>
        <v>596.5</v>
      </c>
      <c r="E15" s="402">
        <f>IF(ISNUMBER(IF(D_I="SI",Datos!J15,Datos!J15+Datos!AD15)),IF(D_I="SI",Datos!J15,Datos!J15+Datos!AD15)," - ")</f>
        <v>3483</v>
      </c>
      <c r="F15" s="403">
        <f>IF(ISNUMBER(E15/B15),E15/B15," - ")</f>
        <v>870.75</v>
      </c>
      <c r="G15" s="402">
        <f>IF(ISNUMBER(IF(D_I="SI",Datos!K15,Datos!K15+Datos!AE15)),IF(D_I="SI",Datos!K15,Datos!K15+Datos!AE15)," - ")</f>
        <v>3552</v>
      </c>
      <c r="H15" s="403">
        <f>IF(ISNUMBER(G15/B15),G15/B15," - ")</f>
        <v>888</v>
      </c>
      <c r="I15" s="402">
        <f>IF(ISNUMBER(IF(D_I="SI",Datos!L15,Datos!L15+Datos!AF15)),IF(D_I="SI",Datos!L15,Datos!L15+Datos!AF15)," - ")</f>
        <v>2451</v>
      </c>
      <c r="J15" s="403">
        <f>IF(ISNUMBER(I15/B15),I15/B15," - ")</f>
        <v>612.75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208</v>
      </c>
      <c r="D18" s="403">
        <f>IF(ISNUMBER(C18/Datos!BH18),C18/Datos!BH18," - ")</f>
        <v>208</v>
      </c>
      <c r="E18" s="402">
        <f>IF(ISNUMBER(IF(D_I="SI",Datos!J18,Datos!J18+Datos!AD18)),IF(D_I="SI",Datos!J18,Datos!J18+Datos!AD18)," - ")</f>
        <v>437</v>
      </c>
      <c r="F18" s="403">
        <f>IF(ISNUMBER(E18/B18),E18/B18," - ")</f>
        <v>437</v>
      </c>
      <c r="G18" s="402">
        <f>IF(ISNUMBER(IF(D_I="SI",Datos!K18,Datos!K18+Datos!AE18)),IF(D_I="SI",Datos!K18,Datos!K18+Datos!AE18)," - ")</f>
        <v>402</v>
      </c>
      <c r="H18" s="403">
        <f>IF(ISNUMBER(G18/B18),G18/B18," - ")</f>
        <v>402</v>
      </c>
      <c r="I18" s="402">
        <f>IF(ISNUMBER(IF(D_I="SI",Datos!L18,Datos!L18+Datos!AF18)),IF(D_I="SI",Datos!L18,Datos!L18+Datos!AF18)," - ")</f>
        <v>226</v>
      </c>
      <c r="J18" s="403">
        <f>IF(ISNUMBER(I18/B18),I18/B18," - ")</f>
        <v>226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2594</v>
      </c>
      <c r="D19" s="847" t="str">
        <f>IF(ISNUMBER(C19/Datos!BI19),C19/Datos!BI19," - ")</f>
        <v xml:space="preserve"> - </v>
      </c>
      <c r="E19" s="846">
        <f>SUBTOTAL(9,E14:E18)</f>
        <v>3920</v>
      </c>
      <c r="F19" s="847">
        <f>IF(ISNUMBER(E19/B19),E19/B19," - ")</f>
        <v>784</v>
      </c>
      <c r="G19" s="846">
        <f>SUBTOTAL(9,G14:G18)</f>
        <v>3954</v>
      </c>
      <c r="H19" s="847">
        <f>IF(ISNUMBER(G19/B19),G19/B19," - ")</f>
        <v>790.8</v>
      </c>
      <c r="I19" s="846">
        <f>SUBTOTAL(9,I14:I18)</f>
        <v>2677</v>
      </c>
      <c r="J19" s="847">
        <f>IF(ISNUMBER(I19/B19),I19/B19," - ")</f>
        <v>535.4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18</v>
      </c>
      <c r="C20" s="791">
        <f>SUBTOTAL(9,C9:C19)</f>
        <v>7541</v>
      </c>
      <c r="D20" s="792" t="str">
        <f>IF(ISNUMBER(C20/Datos!BI20),C20/Datos!BI20," - ")</f>
        <v xml:space="preserve"> - </v>
      </c>
      <c r="E20" s="791">
        <f>SUBTOTAL(9,E9:E19)</f>
        <v>8539</v>
      </c>
      <c r="F20" s="792">
        <f>IF(ISNUMBER(E20/B20),E20/B20," - ")</f>
        <v>474.38888888888891</v>
      </c>
      <c r="G20" s="791">
        <f>SUBTOTAL(9,G9:G19)</f>
        <v>8530</v>
      </c>
      <c r="H20" s="792">
        <f>IF(ISNUMBER(G20/B20),G20/B20," - ")</f>
        <v>473.88888888888891</v>
      </c>
      <c r="I20" s="791">
        <f>SUBTOTAL(9,I9:I19)</f>
        <v>7655</v>
      </c>
      <c r="J20" s="792">
        <f>IF(ISNUMBER(I20/B20),I20/B20," - ")</f>
        <v>425.27777777777777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qVOGRdbSRUO9i0MT5KgNHQ4y5j8RrjKczgbDefDP4Uu9WH3JEY5/gh3UGTe0/S41TWskGl0o/OaQaOF5Hup1w==" saltValue="b5J2A8iyFnquv5xnfnj7R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OVIEDO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10</v>
      </c>
      <c r="B9" s="500" t="s">
        <v>247</v>
      </c>
      <c r="C9" s="159" t="str">
        <f>Datos!A9</f>
        <v>Sección Civil del T.I</v>
      </c>
      <c r="D9" s="501"/>
      <c r="E9" s="679">
        <f>IF(ISNUMBER(Datos!AQ9),Datos!AQ9," - ")</f>
        <v>10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74</v>
      </c>
      <c r="G10" s="681">
        <f>IF(ISNUMBER(Datos!I10),Datos!I10," - ")</f>
        <v>74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43</v>
      </c>
      <c r="AC10" s="680" t="str">
        <f>IF(ISNUMBER(IF(D_I="SI",DatosP!K18,DatosP!K18+DatosP!AE18)),IF(D_I="SI",DatosP!K18,DatosP!K18+DatosP!AE18)," - ")</f>
        <v xml:space="preserve"> - </v>
      </c>
      <c r="AD10" s="682"/>
      <c r="AE10" s="682"/>
      <c r="AF10" s="685">
        <f>IF(ISNUMBER(Datos!L10),Datos!L10,"-")</f>
        <v>85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22</v>
      </c>
      <c r="AM10" s="687">
        <f>IF(ISNUMBER(Datos!N10+DatosP!N18),Datos!N10+DatosP!N18," - ")</f>
        <v>13</v>
      </c>
      <c r="AN10" s="687">
        <f>IF(ISNUMBER(Datos!BW10+DatosP!BW18),Datos!BW10+DatosP!BW18," - ")</f>
        <v>0</v>
      </c>
      <c r="AO10" s="688">
        <f>IF(ISNUMBER(Datos!BX10+DatosP!BX18),Datos!BX10+DatosP!BX18," - ")</f>
        <v>0</v>
      </c>
      <c r="AP10" s="690">
        <f>IF(ISNUMBER(((Datos!L10/Datos!K10)*11)/factor_trimestre),((Datos!L10/Datos!K10)*11)/factor_trimestre," - ")</f>
        <v>5.9302325581395356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13</v>
      </c>
      <c r="F13" s="933">
        <f t="shared" si="0"/>
        <v>74</v>
      </c>
      <c r="G13" s="933">
        <f t="shared" si="0"/>
        <v>74</v>
      </c>
      <c r="H13" s="933">
        <f t="shared" si="0"/>
        <v>0</v>
      </c>
      <c r="I13" s="935">
        <f t="shared" si="0"/>
        <v>0</v>
      </c>
      <c r="J13" s="934">
        <f t="shared" si="0"/>
        <v>0</v>
      </c>
      <c r="K13" s="934">
        <f t="shared" si="0"/>
        <v>0</v>
      </c>
      <c r="L13" s="936">
        <f t="shared" si="0"/>
        <v>0</v>
      </c>
      <c r="M13" s="936">
        <f t="shared" si="0"/>
        <v>0</v>
      </c>
      <c r="N13" s="934">
        <f t="shared" si="0"/>
        <v>11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43</v>
      </c>
      <c r="AC13" s="934">
        <f t="shared" si="1"/>
        <v>0</v>
      </c>
      <c r="AD13" s="934">
        <f t="shared" si="1"/>
        <v>0</v>
      </c>
      <c r="AE13" s="934">
        <f t="shared" si="1"/>
        <v>0</v>
      </c>
      <c r="AF13" s="934">
        <f t="shared" si="1"/>
        <v>85</v>
      </c>
      <c r="AG13" s="934">
        <f t="shared" si="1"/>
        <v>0</v>
      </c>
      <c r="AH13" s="934">
        <f t="shared" si="1"/>
        <v>0</v>
      </c>
      <c r="AI13" s="934">
        <f t="shared" si="1"/>
        <v>0</v>
      </c>
      <c r="AJ13" s="934">
        <f t="shared" si="1"/>
        <v>0</v>
      </c>
      <c r="AK13" s="934">
        <f t="shared" si="1"/>
        <v>0</v>
      </c>
      <c r="AL13" s="934">
        <f t="shared" si="1"/>
        <v>22</v>
      </c>
      <c r="AM13" s="934">
        <f t="shared" si="1"/>
        <v>13</v>
      </c>
      <c r="AN13" s="934">
        <f t="shared" si="1"/>
        <v>0</v>
      </c>
      <c r="AO13" s="934">
        <f t="shared" si="1"/>
        <v>0</v>
      </c>
      <c r="AP13" s="939">
        <f>IF(ISNUMBER(((Datos!L13/Datos!K13)*11)/factor_trimestre),((Datos!L13/Datos!K13)*11)/factor_trimestre," - ")</f>
        <v>3.6420605416887946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-0.58108108108108103</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2.0311077389984824</v>
      </c>
      <c r="AQ19" s="939">
        <f>IF(ISNUMBER(((Datos!M19/Datos!L19)*11)/factor_trimestre),((Datos!M19/Datos!L19)*11)/factor_trimestre," - ")</f>
        <v>0.6051550242809115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5.5882352941176473E-2</v>
      </c>
      <c r="AW19" s="941">
        <f>IF(ISNUMBER((Datos!Q19-Datos!R19)/(Datos!S19-Datos!Q19+Datos!R19)),(Datos!Q19-Datos!R19)/(Datos!S19-Datos!Q19+Datos!R19)," - ")</f>
        <v>-0.15531490453120547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13</v>
      </c>
      <c r="F20" s="946">
        <f t="shared" si="4"/>
        <v>74</v>
      </c>
      <c r="G20" s="946">
        <f t="shared" si="4"/>
        <v>74</v>
      </c>
      <c r="H20" s="946">
        <f t="shared" si="4"/>
        <v>0</v>
      </c>
      <c r="I20" s="947">
        <f t="shared" si="4"/>
        <v>0</v>
      </c>
      <c r="J20" s="948">
        <f t="shared" si="4"/>
        <v>0</v>
      </c>
      <c r="K20" s="948">
        <f t="shared" si="4"/>
        <v>0</v>
      </c>
      <c r="L20" s="948">
        <f t="shared" si="4"/>
        <v>0</v>
      </c>
      <c r="M20" s="948">
        <f t="shared" si="4"/>
        <v>0</v>
      </c>
      <c r="N20" s="947">
        <f t="shared" si="4"/>
        <v>11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43</v>
      </c>
      <c r="AC20" s="952">
        <f t="shared" si="5"/>
        <v>0</v>
      </c>
      <c r="AD20" s="952">
        <f t="shared" si="5"/>
        <v>0</v>
      </c>
      <c r="AE20" s="952">
        <f t="shared" si="5"/>
        <v>0</v>
      </c>
      <c r="AF20" s="953">
        <f t="shared" si="5"/>
        <v>85</v>
      </c>
      <c r="AG20" s="953">
        <f t="shared" si="5"/>
        <v>0</v>
      </c>
      <c r="AH20" s="953">
        <f t="shared" si="5"/>
        <v>0</v>
      </c>
      <c r="AI20" s="953">
        <f t="shared" si="5"/>
        <v>0</v>
      </c>
      <c r="AJ20" s="954">
        <f t="shared" si="5"/>
        <v>0</v>
      </c>
      <c r="AK20" s="954">
        <f t="shared" si="5"/>
        <v>0</v>
      </c>
      <c r="AL20" s="946">
        <f t="shared" si="5"/>
        <v>22</v>
      </c>
      <c r="AM20" s="946">
        <f t="shared" si="5"/>
        <v>13</v>
      </c>
      <c r="AN20" s="946">
        <f t="shared" si="5"/>
        <v>0</v>
      </c>
      <c r="AO20" s="946">
        <f t="shared" si="5"/>
        <v>0</v>
      </c>
      <c r="AP20" s="946">
        <f>IF(ISNUMBER(((Datos!L20/Datos!K20)*11)/factor_trimestre),((Datos!L20/Datos!K20)*11)/factor_trimestre," - ")</f>
        <v>2.8169689119170984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-0.58108108108108103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-9.6498054474708165E-3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49.333333333333336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5.6803755744375444</v>
      </c>
      <c r="F22" s="733">
        <f>IF(ISNUMBER(STDEV(F8:F19)),STDEV(F8:F19),"-")</f>
        <v>42.723919920032309</v>
      </c>
      <c r="G22" s="734">
        <f>IF(ISNUMBER(STDEV(G8:G19)),STDEV(G8:G19),"-")</f>
        <v>42.723919920032309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24.826061575153908</v>
      </c>
      <c r="AC22" s="735">
        <f>IF(ISNUMBER(STDEV(AC8:AC19)),STDEV(AC8:AC19),"-")</f>
        <v>0</v>
      </c>
      <c r="AD22" s="738"/>
      <c r="AE22" s="738"/>
      <c r="AF22" s="738"/>
      <c r="AG22" s="738"/>
      <c r="AH22" s="738"/>
      <c r="AI22" s="738"/>
      <c r="AJ22" s="739">
        <f>IF(ISNUMBER(STDEV(AJ8:AJ19)),STDEV(AJ8:AJ19),"-")</f>
        <v>0</v>
      </c>
      <c r="AK22" s="741"/>
      <c r="AL22" s="733">
        <f>IF(ISNUMBER(STDEV(AL8:AL19)),STDEV(AL8:AL19),"-")</f>
        <v>12.701705922171765</v>
      </c>
      <c r="AM22" s="733"/>
      <c r="AN22" s="733">
        <f>IF(ISNUMBER(STDEV(AN8:AN19)),STDEV(AN8:AN19),"-")</f>
        <v>0</v>
      </c>
      <c r="AO22" s="739">
        <f>IF(ISNUMBER(STDEV(AO8:AO19)),STDEV(AO8:AO19),"-")</f>
        <v>0</v>
      </c>
      <c r="AP22" s="776">
        <f>IF(ISNUMBER(STDEV(AP8:AP19)),STDEV(AP8:AP19),"-")</f>
        <v>1.9593397895126885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dYloEEjx/L41x2+T1ukci5Ic+6Ekpgx/exyVIo1mNLbq4CNUN/5rnnZCJ+bYNu8ekARuLGQSStkQkfviw2xo/w==" saltValue="3osKxApjAsBtM/nYxobT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OVIEDO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10</v>
      </c>
      <c r="B9" s="500" t="s">
        <v>247</v>
      </c>
      <c r="C9" s="159" t="str">
        <f>Datos!A9</f>
        <v>Sección Civil del T.I</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575</v>
      </c>
      <c r="O9" s="333"/>
      <c r="P9" s="333"/>
      <c r="Q9" s="225">
        <f>IF(ISNUMBER(Datos!P9),Datos!P9,0)</f>
        <v>873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1019</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280</v>
      </c>
      <c r="AI9" s="224" t="str">
        <f>IF(ISNUMBER(Datos!CD9),Datos!CD9,"-")</f>
        <v>-</v>
      </c>
      <c r="AJ9" s="1214" t="str">
        <f>IF(ISNUMBER(Datos!EN9),Datos!EN9," - ")</f>
        <v xml:space="preserve"> - </v>
      </c>
      <c r="AK9" s="333"/>
      <c r="AL9" s="478"/>
      <c r="AM9" s="1214">
        <f>IF(ISNUMBER(Datos!R9),Datos!R9," - ")</f>
        <v>11673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1153</v>
      </c>
      <c r="BD9" s="228">
        <f>IF(ISNUMBER(Datos!N9),Datos!N9," - ")</f>
        <v>1456</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1.0079404466501241</v>
      </c>
      <c r="BH9" s="1214">
        <f>IF(ISNUMBER(((IF(J_V="SI",Datos!L9/Datos!K9,(Datos!L9+Datos!AB9)/(Datos!K9+Datos!AA9)))*11)/factor_trimestre),((IF(J_V="SI",Datos!L9/Datos!K9,(Datos!L9+Datos!AB9)/(Datos!K9+Datos!AA9)))*11)/factor_trimestre," - ")</f>
        <v>3.2747415066469721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-1.2352990946780608E-2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1396.8075795208672</v>
      </c>
      <c r="CF9" s="228">
        <f ca="1">AVERAGEIFS($AB:$AB,$BW:$BW,BW9,$BX:$BX,BX9)</f>
        <v>1396.8075795208672</v>
      </c>
      <c r="CG9" s="1191">
        <v>0.7</v>
      </c>
      <c r="CH9" s="1191">
        <f ca="1">AVERAGEIF($BW:$BW,$BW9,$AC:$AC)</f>
        <v>345</v>
      </c>
      <c r="CI9" s="228">
        <f ca="1">AVERAGEIFS($AC:$AC,$BW:$BW,$BW9,$BX:$BX,$BX9)</f>
        <v>345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920.66666666666663</v>
      </c>
      <c r="CR9" s="228">
        <f ca="1">AVERAGEIFS($AF:$AF,$BW:$BW,BW9,$BX:$BX,BX9)</f>
        <v>920.66666666666663</v>
      </c>
      <c r="CS9" s="1191">
        <v>1.3</v>
      </c>
      <c r="CT9" s="1191">
        <v>1.5</v>
      </c>
      <c r="CU9" s="1191">
        <f ca="1">AVERAGEIF($BW:$BW,$BW9,$AH:$AH)</f>
        <v>152.25</v>
      </c>
      <c r="CV9" s="228">
        <f ca="1">AVERAGEIFS($AH:$AH,$BW:$BW,$BW9,$BX:$BX,$BX9)</f>
        <v>152.25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3470.7272727272725</v>
      </c>
      <c r="DH9" s="1218">
        <f ca="1">AVERAGEIFS($AM:$AM,$BW:$BW,$BW9,$BX:$BX,$BX9)</f>
        <v>3470.7272727272725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2.1518670403086957</v>
      </c>
      <c r="ER9" s="1218">
        <f ca="1">AVERAGEIFS($BH:$BH,$BW:$BW,$BW9,$BX:$BX,$BX9)</f>
        <v>2.1518670403086957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74</v>
      </c>
      <c r="G10" s="332">
        <f>IF(ISNUMBER(Datos!I10),Datos!I10," - ")</f>
        <v>74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43</v>
      </c>
      <c r="AC10" s="224">
        <f>IF(ISNUMBER(Datos!Q10),Datos!Q10," - ")</f>
        <v>1</v>
      </c>
      <c r="AD10" s="224"/>
      <c r="AE10" s="224"/>
      <c r="AF10" s="224">
        <f>IF(ISNUMBER(Datos!L10),Datos!L10,"-")</f>
        <v>85</v>
      </c>
      <c r="AG10" s="333"/>
      <c r="AH10" s="224"/>
      <c r="AI10" s="224"/>
      <c r="AJ10" s="1214"/>
      <c r="AK10" s="333"/>
      <c r="AL10" s="478"/>
      <c r="AM10" s="1214">
        <f>IF(ISNUMBER(Datos!R10),Datos!R10," - ")</f>
        <v>74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22</v>
      </c>
      <c r="BD10" s="228">
        <f>IF(ISNUMBER(Datos!N10),Datos!N10," - ")</f>
        <v>13</v>
      </c>
      <c r="BE10" s="1214" t="str">
        <f>IF(ISNUMBER(Datos!BW10),Datos!BW10," - ")</f>
        <v xml:space="preserve"> - </v>
      </c>
      <c r="BF10" s="1214" t="str">
        <f>IF(ISNUMBER(Datos!BX10),Datos!BX10," - ")</f>
        <v xml:space="preserve"> - </v>
      </c>
      <c r="BG10" s="242">
        <f>IF(ISNUMBER(Datos!K10/Datos!J10),Datos!K10/Datos!J10," - ")</f>
        <v>0.79629629629629628</v>
      </c>
      <c r="BH10" s="1214">
        <f>IF(ISNUMBER(((Datos!L10/Datos!K10)*11)/factor_trimestre),((Datos!L10/Datos!K10)*11)/factor_trimestre," - ")</f>
        <v>5.9302325581395356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0.15625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1396.8075795208672</v>
      </c>
      <c r="CF10" s="228">
        <f ca="1">AVERAGEIFS($AB:$AB,$BW:$BW,BW10,$BX:$BX,BX10)</f>
        <v>1396.8075795208672</v>
      </c>
      <c r="CG10" s="1191">
        <v>0.7</v>
      </c>
      <c r="CH10" s="1191">
        <f ca="1">AVERAGEIF($BW:$BW,BW10,$AC:$AC)</f>
        <v>345</v>
      </c>
      <c r="CI10" s="228">
        <f ca="1">AVERAGEIFS($AC:$AC,$BW:$BW,BW10,$BX:$BX,BX10)</f>
        <v>345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920.66666666666663</v>
      </c>
      <c r="CR10" s="228">
        <f ca="1">AVERAGEIFS($AF:$AF,$BW:$BW,BW10,$BX:$BX,BX10)</f>
        <v>920.66666666666663</v>
      </c>
      <c r="CS10" s="1191">
        <v>1.3</v>
      </c>
      <c r="CT10" s="1191">
        <v>1.5</v>
      </c>
      <c r="CU10" s="1191">
        <f ca="1">AVERAGEIF($BW:$BW,$BW10,$AH:$AH)</f>
        <v>152.25</v>
      </c>
      <c r="CV10" s="228">
        <f ca="1">AVERAGEIFS($AH:$AH,$BW:$BW,$BW10,$BX:$BX,$BX10)</f>
        <v>152.25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3470.7272727272725</v>
      </c>
      <c r="DH10" s="1218">
        <f ca="1">AVERAGEIFS($AM:$AM,$BW:$BW,$BW10,$BX:$BX,$BX10)</f>
        <v>3470.7272727272725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2.1518670403086957</v>
      </c>
      <c r="ER10" s="1218">
        <f ca="1">AVERAGEIFS($BH:$BH,$BW:$BW,$BW10,$BX:$BX,$BX10)</f>
        <v>2.1518670403086957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193</v>
      </c>
      <c r="O11" s="333"/>
      <c r="P11" s="333"/>
      <c r="Q11" s="225">
        <f>IF(ISNUMBER(Datos!P11),Datos!P11,0)</f>
        <v>46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72</v>
      </c>
      <c r="AD11" s="224"/>
      <c r="AE11" s="224"/>
      <c r="AF11" s="224" t="str">
        <f>IF(ISNUMBER(IF(J_V="SI",Datos!L11,Datos!L11+Datos!AB11)-IF(Monitorios="SI",Datos!CD11,0)),
                          IF(J_V="SI",Datos!L11,Datos!L11+Datos!AB11)-IF(Monitorios="SI",Datos!CD11,0),
                          " - ")</f>
        <v xml:space="preserve"> - </v>
      </c>
      <c r="AG11" s="333"/>
      <c r="AH11" s="224">
        <f>IF(ISNUMBER(Datos!AB11),Datos!AB11,"-")</f>
        <v>126</v>
      </c>
      <c r="AI11" s="224"/>
      <c r="AJ11" s="1214"/>
      <c r="AK11" s="333"/>
      <c r="AL11" s="478"/>
      <c r="AM11" s="1214">
        <f>IF(ISNUMBER(Datos!R11),Datos!R11," - ")</f>
        <v>261</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131</v>
      </c>
      <c r="BD11" s="228">
        <f>IF(ISNUMBER(Datos!N11),Datos!N11," - ")</f>
        <v>289</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0.88037383177570094</v>
      </c>
      <c r="BH11" s="1214">
        <f>IF(ISNUMBER(((IF(J_V="SI",Datos!L11/Datos!K11,(Datos!L11+Datos!AB11)/(Datos!K11+Datos!AA11)))*11)/factor_trimestre),((IF(J_V="SI",Datos!L11/Datos!K11,(Datos!L11+Datos!AB11)/(Datos!K11+Datos!AA11)))*11)/factor_trimestre," - ")</f>
        <v>2.9235668789808922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-9.0592334494773524E-2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1396.8075795208672</v>
      </c>
      <c r="CF11" s="228">
        <f ca="1">AVERAGEIFS($AB:$AB,$BW:$BW,BW11,$BX:$BX,BX11)</f>
        <v>1396.8075795208672</v>
      </c>
      <c r="CG11" s="1191">
        <v>0.7</v>
      </c>
      <c r="CH11" s="1191">
        <f ca="1">AVERAGEIF($BW:$BW,BW11,$AC:$AC)</f>
        <v>345</v>
      </c>
      <c r="CI11" s="228">
        <f ca="1">AVERAGEIFS($AC:$AC,$BW:$BW,BW11,$BX:$BX,BX11)</f>
        <v>345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920.66666666666663</v>
      </c>
      <c r="CR11" s="228">
        <f ca="1">AVERAGEIFS($AF:$AF,$BW:$BW,BW11,$BX:$BX,BX11)</f>
        <v>920.66666666666663</v>
      </c>
      <c r="CS11" s="1191">
        <v>1.3</v>
      </c>
      <c r="CT11" s="1191">
        <v>1.5</v>
      </c>
      <c r="CU11" s="1191">
        <f ca="1">AVERAGEIF($BW:$BW,$BW11,$AH:$AH)</f>
        <v>152.25</v>
      </c>
      <c r="CV11" s="228">
        <f ca="1">AVERAGEIFS($AH:$AH,$BW:$BW,$BW11,$BX:$BX,$BX11)</f>
        <v>152.25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3470.7272727272725</v>
      </c>
      <c r="DH11" s="1218">
        <f ca="1">AVERAGEIFS($AM:$AM,$BW:$BW,$BW11,$BX:$BX,$BX11)</f>
        <v>3470.7272727272725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2.1518670403086957</v>
      </c>
      <c r="ER11" s="1218">
        <f ca="1">AVERAGEIFS($BH:$BH,$BW:$BW,$BW11,$BX:$BX,$BX11)</f>
        <v>2.1518670403086957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1396.8075795208672</v>
      </c>
      <c r="CF12" s="228">
        <f ca="1">AVERAGEIFS($AB:$AB,$BW:$BW,BW12,$BX:$BX,BX12)</f>
        <v>1396.8075795208672</v>
      </c>
      <c r="CG12" s="1191">
        <v>0.7</v>
      </c>
      <c r="CH12" s="1191">
        <f ca="1">AVERAGEIF($BW:$BW,BW12,$AC:$AC)</f>
        <v>345</v>
      </c>
      <c r="CI12" s="228">
        <f ca="1">AVERAGEIFS($AC:$AC,$BW:$BW,BW12,$BX:$BX,BX12)</f>
        <v>345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920.66666666666663</v>
      </c>
      <c r="CR12" s="228">
        <f ca="1">AVERAGEIFS($AF:$AF,$BW:$BW,BW12,$BX:$BX,BX12)</f>
        <v>920.66666666666663</v>
      </c>
      <c r="CS12" s="1191">
        <v>1.3</v>
      </c>
      <c r="CT12" s="1191">
        <v>1.5</v>
      </c>
      <c r="CU12" s="1191">
        <f ca="1">AVERAGEIF($BW:$BW,$BW12,$AH:$AH)</f>
        <v>152.25</v>
      </c>
      <c r="CV12" s="228">
        <f ca="1">AVERAGEIFS($AH:$AH,$BW:$BW,$BW12,$BX:$BX,$BX12)</f>
        <v>152.25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3470.7272727272725</v>
      </c>
      <c r="DH12" s="1218">
        <f ca="1">AVERAGEIFS($AM:$AM,$BW:$BW,$BW12,$BX:$BX,$BX12)</f>
        <v>3470.7272727272725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2.1518670403086957</v>
      </c>
      <c r="ER12" s="1218">
        <f ca="1">AVERAGEIFS($BH:$BH,$BW:$BW,$BW12,$BX:$BX,$BX12)</f>
        <v>2.1518670403086957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13</v>
      </c>
      <c r="F13" s="895">
        <f t="shared" si="1"/>
        <v>74</v>
      </c>
      <c r="G13" s="895">
        <f t="shared" si="1"/>
        <v>74</v>
      </c>
      <c r="H13" s="896">
        <f t="shared" si="1"/>
        <v>0</v>
      </c>
      <c r="I13" s="895">
        <f t="shared" si="1"/>
        <v>0</v>
      </c>
      <c r="J13" s="864">
        <f t="shared" si="1"/>
        <v>0</v>
      </c>
      <c r="K13" s="864">
        <f t="shared" si="1"/>
        <v>0</v>
      </c>
      <c r="L13" s="896">
        <f t="shared" si="1"/>
        <v>0</v>
      </c>
      <c r="M13" s="896">
        <f t="shared" si="1"/>
        <v>0</v>
      </c>
      <c r="N13" s="896">
        <f t="shared" si="1"/>
        <v>768</v>
      </c>
      <c r="O13" s="897">
        <f t="shared" si="1"/>
        <v>0</v>
      </c>
      <c r="P13" s="897">
        <f t="shared" si="1"/>
        <v>0</v>
      </c>
      <c r="Q13" s="896">
        <f t="shared" si="1"/>
        <v>930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43</v>
      </c>
      <c r="AC13" s="896">
        <f t="shared" si="2"/>
        <v>1092</v>
      </c>
      <c r="AD13" s="896">
        <f t="shared" si="2"/>
        <v>0</v>
      </c>
      <c r="AE13" s="896">
        <f t="shared" si="2"/>
        <v>0</v>
      </c>
      <c r="AF13" s="896">
        <f t="shared" si="2"/>
        <v>85</v>
      </c>
      <c r="AG13" s="896">
        <f t="shared" si="2"/>
        <v>0</v>
      </c>
      <c r="AH13" s="896">
        <f t="shared" si="2"/>
        <v>406</v>
      </c>
      <c r="AI13" s="896">
        <f t="shared" si="2"/>
        <v>0</v>
      </c>
      <c r="AJ13" s="896">
        <f t="shared" si="2"/>
        <v>0</v>
      </c>
      <c r="AK13" s="896">
        <f t="shared" si="2"/>
        <v>0</v>
      </c>
      <c r="AL13" s="896">
        <f t="shared" si="2"/>
        <v>0</v>
      </c>
      <c r="AM13" s="896">
        <f t="shared" si="2"/>
        <v>12008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1306</v>
      </c>
      <c r="BD13" s="896">
        <f t="shared" si="2"/>
        <v>1758</v>
      </c>
      <c r="BE13" s="896">
        <f t="shared" si="2"/>
        <v>0</v>
      </c>
      <c r="BF13" s="896">
        <f t="shared" si="2"/>
        <v>0</v>
      </c>
      <c r="BG13" s="896">
        <f>IF(ISNUMBER(Datos!K13/Datos!J13),Datos!K13/Datos!J13," - ")</f>
        <v>0.9779278109581927</v>
      </c>
      <c r="BH13" s="900">
        <f>IF(ISNUMBER(((Datos!L13/Datos!K13)*11)/factor_trimestre),((Datos!L13/Datos!K13)*11)/factor_trimestre," - ")</f>
        <v>3.6420605416887946</v>
      </c>
      <c r="BI13" s="896">
        <f>IF(ISNUMBER('Resol  Asuntos'!D13/NºAsuntos!G13),'Resol  Asuntos'!D13/NºAsuntos!G13," - ")</f>
        <v>0.28540209790209792</v>
      </c>
      <c r="BJ13" s="896" t="str">
        <f>IF(ISNUMBER(Datos!CI13/Datos!CJ13),Datos!CI13/Datos!CJ13," - ")</f>
        <v xml:space="preserve"> - </v>
      </c>
      <c r="BK13" s="896">
        <f>SUBTOTAL(9,BK8:BK12)</f>
        <v>0</v>
      </c>
      <c r="BL13" s="896">
        <f>IF(ISNUMBER((I13-AB13+L13)/(F13)),(I13-AB13+L13)/(F13)," - ")</f>
        <v>-0.58108108108108103</v>
      </c>
      <c r="BM13" s="901">
        <f>SUBTOTAL(9,BM9:BM12)</f>
        <v>5.3304674558445869E-2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4</v>
      </c>
      <c r="B15" s="593" t="s">
        <v>397</v>
      </c>
      <c r="C15" s="598" t="str">
        <f>Datos!A15</f>
        <v xml:space="preserve">Seccion Instruccion Del T.I.                   </v>
      </c>
      <c r="D15" s="599"/>
      <c r="E15" s="1160">
        <f>IF(ISNUMBER(Datos!AQ15),Datos!AQ15," - ")</f>
        <v>4</v>
      </c>
      <c r="F15" s="594">
        <f>IF(ISNUMBER(AF15+AB15-Datos!J15-L15),AF15+AB15-Datos!J15-L15," - ")</f>
        <v>2520</v>
      </c>
      <c r="G15" s="596">
        <f>IF(ISNUMBER(IF(D_I="SI",Datos!I15,Datos!I15+Datos!AC15)),IF(D_I="SI",Datos!I15,Datos!I15+Datos!AC15)," - ")</f>
        <v>2386</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204</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3552</v>
      </c>
      <c r="AC15" s="224">
        <f>IF(ISNUMBER(Datos!Q15),Datos!Q15," - ")</f>
        <v>169</v>
      </c>
      <c r="AD15" s="224"/>
      <c r="AE15" s="224"/>
      <c r="AF15" s="224">
        <f>IF(ISNUMBER(IF(D_I="SI",Datos!L15,Datos!L15+Datos!AF15)),IF(D_I="SI",Datos!L15,Datos!L15+Datos!AF15)," - ")</f>
        <v>2451</v>
      </c>
      <c r="AG15" s="333"/>
      <c r="AH15" s="224"/>
      <c r="AI15" s="224"/>
      <c r="AJ15" s="1214"/>
      <c r="AK15" s="333"/>
      <c r="AL15" s="478"/>
      <c r="AM15" s="1214">
        <f>IF(ISNUMBER(Datos!R15),Datos!R15," - ")</f>
        <v>709</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492</v>
      </c>
      <c r="BD15" s="228">
        <f>IF(ISNUMBER(Datos!N15),Datos!N15," - ")</f>
        <v>2233</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1.0198105081826012</v>
      </c>
      <c r="BH15" s="1214">
        <f>IF(ISNUMBER(((IF(D_I="SI",Datos!L15/Datos!K15,(Datos!L15+Datos!AF15)/(Datos!K15+Datos!AE15)))*11)/factor_trimestre),((IF(D_I="SI",Datos!L15/Datos!K15,(Datos!L15+Datos!AF15)/(Datos!K15+Datos!AE15)))*11)/factor_trimestre," - ")</f>
        <v>2.0701013513513513</v>
      </c>
      <c r="BI15" s="242">
        <f>IF(ISNUMBER('Resol  Asuntos'!D15/NºAsuntos!G15),'Resol  Asuntos'!D15/NºAsuntos!G15," - ")</f>
        <v>0.13851351351351351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1396.8075795208672</v>
      </c>
      <c r="CF15" s="228">
        <f ca="1">AVERAGEIFS($AB:$AB,$BW:$BW,BW15,$BX:$BX,BX15)</f>
        <v>1396.8075795208672</v>
      </c>
      <c r="CG15" s="1191">
        <v>0.7</v>
      </c>
      <c r="CH15" s="1191">
        <f ca="1">AVERAGEIF($BW:$BW,BW15,$AC:$AC)</f>
        <v>345</v>
      </c>
      <c r="CI15" s="228">
        <f ca="1">AVERAGEIFS($AC:$AC,$BW:$BW,BW15,$BX:$BX,BX15)</f>
        <v>345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920.66666666666663</v>
      </c>
      <c r="CR15" s="228">
        <f ca="1">AVERAGEIFS($AF:$AF,$BW:$BW,BW15,$BX:$BX,BX15)</f>
        <v>920.66666666666663</v>
      </c>
      <c r="CS15" s="1191">
        <v>1.3</v>
      </c>
      <c r="CT15" s="1191">
        <v>1.5</v>
      </c>
      <c r="CU15" s="1191">
        <f ca="1">AVERAGEIF($BW:$BW,$BW15,$AH:$AH)</f>
        <v>152.25</v>
      </c>
      <c r="CV15" s="228">
        <f ca="1">AVERAGEIFS($AH:$AH,$BW:$BW,$BW15,$BX:$BX,$BX15)</f>
        <v>152.25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3470.7272727272725</v>
      </c>
      <c r="DH15" s="1218">
        <f ca="1">AVERAGEIFS($AM:$AM,$BW:$BW,$BW15,$BX:$BX,$BX15)</f>
        <v>3470.7272727272725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2.1518670403086957</v>
      </c>
      <c r="ER15" s="1218">
        <f ca="1">AVERAGEIFS($BH:$BH,$BW:$BW,$BW15,$BX:$BX,$BX15)</f>
        <v>2.1518670403086957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1396.8075795208672</v>
      </c>
      <c r="CF16" s="1218">
        <f ca="1">AVERAGEIFS($AB:$AB,$BW:$BW,BW16,$BX:$BX,BX16)</f>
        <v>1396.8075795208672</v>
      </c>
      <c r="CG16" s="1191">
        <v>0.7</v>
      </c>
      <c r="CH16" s="1191">
        <f ca="1">AVERAGEIF($BW:$BW,BW16,$AC:$AC)</f>
        <v>345</v>
      </c>
      <c r="CI16" s="1218">
        <f ca="1">AVERAGEIFS($AC:$AC,$BW:$BW,BW16,$BX:$BX,BX16)</f>
        <v>345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920.66666666666663</v>
      </c>
      <c r="CR16" s="1218">
        <f ca="1">AVERAGEIFS($AF:$AF,$BW:$BW,BW16,$BX:$BX,BX16)</f>
        <v>920.66666666666663</v>
      </c>
      <c r="CS16" s="1191">
        <v>1.3</v>
      </c>
      <c r="CT16" s="1191">
        <v>1.5</v>
      </c>
      <c r="CU16" s="1191">
        <f ca="1">AVERAGEIF($BW:$BW,$BW16,$AH:$AH)</f>
        <v>152.25</v>
      </c>
      <c r="CV16" s="1218">
        <f ca="1">AVERAGEIFS($AH:$AH,$BW:$BW,$BW16,$BX:$BX,$BX16)</f>
        <v>152.25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3470.7272727272725</v>
      </c>
      <c r="DH16" s="1218">
        <f ca="1">AVERAGEIFS($AM:$AM,$BW:$BW,$BW16,$BX:$BX,$BX16)</f>
        <v>3470.7272727272725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2.1518670403086957</v>
      </c>
      <c r="ER16" s="1218">
        <f ca="1">AVERAGEIFS($BH:$BH,$BW:$BW,$BW16,$BX:$BX,$BX16)</f>
        <v>2.1518670403086957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1396.8075795208672</v>
      </c>
      <c r="CF17" s="228">
        <f ca="1">AVERAGEIFS($AB:$AB,$BW:$BW,BW17,$BX:$BX,BX17)</f>
        <v>1396.8075795208672</v>
      </c>
      <c r="CG17" s="1191">
        <v>0.7</v>
      </c>
      <c r="CH17" s="1191">
        <f ca="1">AVERAGEIF($BW:$BW,BW17,$AC:$AC)</f>
        <v>345</v>
      </c>
      <c r="CI17" s="228">
        <f ca="1">AVERAGEIFS($AC:$AC,$BW:$BW,BW17,$BX:$BX,BX17)</f>
        <v>345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920.66666666666663</v>
      </c>
      <c r="CR17" s="228">
        <f ca="1">AVERAGEIFS($AF:$AF,$BW:$BW,BW17,$BX:$BX,BX17)</f>
        <v>920.66666666666663</v>
      </c>
      <c r="CS17" s="1191">
        <v>1.3</v>
      </c>
      <c r="CT17" s="1191">
        <v>1.5</v>
      </c>
      <c r="CU17" s="1191">
        <f ca="1">AVERAGEIF($BW:$BW,$BW17,$AH:$AH)</f>
        <v>152.25</v>
      </c>
      <c r="CV17" s="228">
        <f ca="1">AVERAGEIFS($AH:$AH,$BW:$BW,$BW17,$BX:$BX,$BX17)</f>
        <v>152.25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3470.7272727272725</v>
      </c>
      <c r="DH17" s="1218">
        <f ca="1">AVERAGEIFS($AM:$AM,$BW:$BW,$BW17,$BX:$BX,$BX17)</f>
        <v>3470.7272727272725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2.1518670403086957</v>
      </c>
      <c r="ER17" s="1218">
        <f ca="1">AVERAGEIFS($BH:$BH,$BW:$BW,$BW17,$BX:$BX,$BX17)</f>
        <v>2.1518670403086957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208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7</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402</v>
      </c>
      <c r="AC18" s="224">
        <f>IF(ISNUMBER(Datos!Q18),Datos!Q18," - ")</f>
        <v>4</v>
      </c>
      <c r="AD18" s="224"/>
      <c r="AE18" s="224"/>
      <c r="AF18" s="224">
        <f>IF(ISNUMBER(Datos!L18),Datos!L18,"-")</f>
        <v>226</v>
      </c>
      <c r="AG18" s="333"/>
      <c r="AH18" s="224"/>
      <c r="AI18" s="224"/>
      <c r="AJ18" s="1214"/>
      <c r="AK18" s="333"/>
      <c r="AL18" s="478"/>
      <c r="AM18" s="1214">
        <f>IF(ISNUMBER(Datos!R18),Datos!R18," - ")</f>
        <v>9</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48</v>
      </c>
      <c r="BD18" s="228">
        <f>IF(ISNUMBER(Datos!N18),Datos!N18," - ")</f>
        <v>198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0.919908466819222</v>
      </c>
      <c r="BH18" s="1214">
        <f>IF(ISNUMBER(((IF(D_I="SI",Datos!L18/Datos!K18,(Datos!L18+Datos!AF18)/(Datos!K18+Datos!AE18)))*11)/factor_trimestre),((IF(D_I="SI",Datos!L18/Datos!K18,(Datos!L18+Datos!AF18)/(Datos!K18+Datos!AE18)))*11)/factor_trimestre," - ")</f>
        <v>1.6865671641791045</v>
      </c>
      <c r="BI18" s="242">
        <f>IF(ISNUMBER('Resol  Asuntos'!D18/NºAsuntos!G18),'Resol  Asuntos'!D18/NºAsuntos!G18," - ")</f>
        <v>0.11940298507462686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1396.8075795208672</v>
      </c>
      <c r="CF18" s="228">
        <f ca="1">AVERAGEIFS($AB:$AB,$BW:$BW,BW18,$BX:$BX,BX18)</f>
        <v>1396.8075795208672</v>
      </c>
      <c r="CG18" s="1191">
        <v>0.7</v>
      </c>
      <c r="CH18" s="1191">
        <f ca="1">AVERAGEIF($BW:$BW,BW18,$AC:$AC)</f>
        <v>345</v>
      </c>
      <c r="CI18" s="228">
        <f ca="1">AVERAGEIFS($AC:$AC,$BW:$BW,BW18,$BX:$BX,BX18)</f>
        <v>345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920.66666666666663</v>
      </c>
      <c r="CR18" s="228">
        <f ca="1">AVERAGEIFS($AF:$AF,$BW:$BW,BW18,$BX:$BX,BX18)</f>
        <v>920.66666666666663</v>
      </c>
      <c r="CS18" s="1191">
        <v>1.3</v>
      </c>
      <c r="CT18" s="1191">
        <v>1.5</v>
      </c>
      <c r="CU18" s="1191">
        <f ca="1">AVERAGEIF($BW:$BW,$BW18,$AH:$AH)</f>
        <v>152.25</v>
      </c>
      <c r="CV18" s="228">
        <f ca="1">AVERAGEIFS($AH:$AH,$BW:$BW,$BW18,$BX:$BX,$BX18)</f>
        <v>152.25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3470.7272727272725</v>
      </c>
      <c r="DH18" s="1218">
        <f ca="1">AVERAGEIFS($AM:$AM,$BW:$BW,$BW18,$BX:$BX,$BX18)</f>
        <v>3470.7272727272725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2.1518670403086957</v>
      </c>
      <c r="ER18" s="1218">
        <f ca="1">AVERAGEIFS($BH:$BH,$BW:$BW,$BW18,$BX:$BX,$BX18)</f>
        <v>2.1518670403086957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2520</v>
      </c>
      <c r="G19" s="895">
        <f>SUBTOTAL(9,G15:G18)</f>
        <v>2594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3954</v>
      </c>
      <c r="AC19" s="896">
        <f t="shared" si="5"/>
        <v>173</v>
      </c>
      <c r="AD19" s="896">
        <f t="shared" si="5"/>
        <v>0</v>
      </c>
      <c r="AE19" s="896">
        <f t="shared" si="5"/>
        <v>0</v>
      </c>
      <c r="AF19" s="896">
        <f t="shared" si="5"/>
        <v>2677</v>
      </c>
      <c r="AG19" s="896">
        <f t="shared" si="5"/>
        <v>0</v>
      </c>
      <c r="AH19" s="896">
        <f t="shared" si="5"/>
        <v>0</v>
      </c>
      <c r="AI19" s="896">
        <f t="shared" si="5"/>
        <v>0</v>
      </c>
      <c r="AJ19" s="896">
        <f t="shared" si="5"/>
        <v>0</v>
      </c>
      <c r="AK19" s="896">
        <f t="shared" si="5"/>
        <v>0</v>
      </c>
      <c r="AL19" s="896">
        <f t="shared" si="5"/>
        <v>0</v>
      </c>
      <c r="AM19" s="896">
        <f t="shared" si="5"/>
        <v>718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540</v>
      </c>
      <c r="BD19" s="896">
        <f t="shared" si="5"/>
        <v>2431</v>
      </c>
      <c r="BE19" s="896">
        <f t="shared" si="5"/>
        <v>0</v>
      </c>
      <c r="BF19" s="896">
        <f t="shared" si="5"/>
        <v>0</v>
      </c>
      <c r="BG19" s="896">
        <f>IF(ISNUMBER(Datos!K19/Datos!J19),Datos!K19/Datos!J19," - ")</f>
        <v>1.008673469387755</v>
      </c>
      <c r="BH19" s="900">
        <f>IF(ISNUMBER(((Datos!L19/Datos!K19)*11)/factor_trimestre),((Datos!L19/Datos!K19)*11)/factor_trimestre," - ")</f>
        <v>2.0311077389984824</v>
      </c>
      <c r="BI19" s="896">
        <f>SUBTOTAL(9,BI15:BI18)</f>
        <v>0.25791649858814036</v>
      </c>
      <c r="BJ19" s="896">
        <f>SUBTOTAL(9,BJ15:BJ18)</f>
        <v>0</v>
      </c>
      <c r="BK19" s="896">
        <f>SUBTOTAL(9,BK15:BK18)</f>
        <v>0</v>
      </c>
      <c r="BL19" s="896">
        <f>IF(ISNUMBER((I19-AB19+L19)/(F19)),(I19-AB19+L19)/(F19)," - ")</f>
        <v>-1.569047619047619</v>
      </c>
      <c r="BM19" s="902">
        <f>IF(ISNUMBER((Datos!P19-Datos!Q19)/(Datos!R19-Datos!P19+Datos!Q19)),(Datos!P19-Datos!Q19)/(Datos!R19-Datos!P19+Datos!Q19)," - ")</f>
        <v>5.5882352941176473E-2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18</v>
      </c>
      <c r="F20" s="817">
        <f t="shared" si="7"/>
        <v>2594</v>
      </c>
      <c r="G20" s="817">
        <f t="shared" si="7"/>
        <v>2668</v>
      </c>
      <c r="H20" s="819">
        <f t="shared" si="7"/>
        <v>0</v>
      </c>
      <c r="I20" s="817">
        <f t="shared" si="7"/>
        <v>0</v>
      </c>
      <c r="J20" s="819">
        <f t="shared" si="7"/>
        <v>0</v>
      </c>
      <c r="K20" s="819">
        <f t="shared" si="7"/>
        <v>0</v>
      </c>
      <c r="L20" s="878">
        <f t="shared" si="7"/>
        <v>0</v>
      </c>
      <c r="M20" s="878">
        <f t="shared" si="7"/>
        <v>0</v>
      </c>
      <c r="N20" s="878">
        <f t="shared" si="7"/>
        <v>768</v>
      </c>
      <c r="O20" s="878">
        <f t="shared" si="7"/>
        <v>0</v>
      </c>
      <c r="P20" s="878">
        <f t="shared" si="7"/>
        <v>0</v>
      </c>
      <c r="Q20" s="819">
        <f t="shared" si="7"/>
        <v>1141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3997</v>
      </c>
      <c r="AC20" s="818">
        <f t="shared" si="8"/>
        <v>1265</v>
      </c>
      <c r="AD20" s="818">
        <f t="shared" si="8"/>
        <v>0</v>
      </c>
      <c r="AE20" s="818">
        <f t="shared" si="8"/>
        <v>0</v>
      </c>
      <c r="AF20" s="825">
        <f t="shared" si="8"/>
        <v>2762</v>
      </c>
      <c r="AG20" s="825">
        <f t="shared" si="8"/>
        <v>0</v>
      </c>
      <c r="AH20" s="825">
        <f t="shared" si="8"/>
        <v>406</v>
      </c>
      <c r="AI20" s="825">
        <f t="shared" si="8"/>
        <v>0</v>
      </c>
      <c r="AJ20" s="818">
        <f t="shared" si="8"/>
        <v>0</v>
      </c>
      <c r="AK20" s="825">
        <f t="shared" si="8"/>
        <v>0</v>
      </c>
      <c r="AL20" s="825">
        <f t="shared" si="8"/>
        <v>0</v>
      </c>
      <c r="AM20" s="825">
        <f t="shared" si="8"/>
        <v>12726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1846</v>
      </c>
      <c r="BD20" s="817">
        <f t="shared" si="8"/>
        <v>4189</v>
      </c>
      <c r="BE20" s="817">
        <f t="shared" si="8"/>
        <v>0</v>
      </c>
      <c r="BF20" s="827">
        <f t="shared" si="8"/>
        <v>0</v>
      </c>
      <c r="BG20" s="912">
        <f>IF(ISNUMBER(Datos!K20/Datos!J20),Datos!K20/Datos!J20," - ")</f>
        <v>0.99343713807746747</v>
      </c>
      <c r="BH20" s="912">
        <f>IF(ISNUMBER(((Datos!L20/Datos!K20)*11)/factor_trimestre),((Datos!L20/Datos!K20)*11)/factor_trimestre," - ")</f>
        <v>2.8169689119170984</v>
      </c>
      <c r="BI20" s="810">
        <f>IF(ISNUMBER(Datos!J20/Datos!I20),Datos!J20/Datos!I20," - ")</f>
        <v>1.0955871986465529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-1.540863531225906</v>
      </c>
      <c r="BM20" s="886">
        <f>IF(ISNUMBER((Datos!P20-Datos!Q20+R20)/(Datos!R20-Datos!P20+Datos!Q20-R20)),(Datos!P20-Datos!Q20+R20)/(Datos!R20-Datos!P20+Datos!Q20-R20)," - ")</f>
        <v>-9.6498054474708165E-3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1067.2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4.5509461775669369</v>
      </c>
      <c r="F22" s="550">
        <f>IF(ISNUMBER(STDEV(F8:F19)),STDEV(F8:F19),"-")</f>
        <v>1412.1987584378246</v>
      </c>
      <c r="G22" s="551">
        <f>IF(ISNUMBER(STDEV(G8:G19)),STDEV(G8:G19),"-")</f>
        <v>1302.0626713027295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1977.0757952086713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523.03468882502023</v>
      </c>
      <c r="BD22" s="550"/>
      <c r="BE22" s="550">
        <f>IF(ISNUMBER(STDEV(BE8:BE19)),STDEV(BE8:BE19),"-")</f>
        <v>0</v>
      </c>
      <c r="BF22" s="555">
        <f>IF(ISNUMBER(STDEV(BF8:BF19)),STDEV(BF8:BF19),"-")</f>
        <v>0</v>
      </c>
      <c r="BG22" s="772">
        <f>IF(ISNUMBER(STDEV(BG8:BG19)),STDEV(BG8:BG19),"-")</f>
        <v>8.3279865614097628E-2</v>
      </c>
      <c r="BH22" s="773">
        <f>IF(ISNUMBER(STDEV(BH8:BH19)),STDEV(BH8:BH19),"-")</f>
        <v>1.4470578318021159</v>
      </c>
      <c r="BI22" s="248">
        <f>IF(ISNUMBER(STDEV(BI8:BI19)),STDEV(BI8:BI19),"-")</f>
        <v>8.3514319341376334E-2</v>
      </c>
      <c r="BJ22" s="1415" t="str">
        <f>IF(ISNUMBER(BL22/BM22),BL22/BM22," - ")</f>
        <v xml:space="preserve"> - </v>
      </c>
      <c r="BK22" s="574"/>
      <c r="BL22" s="558">
        <f>IF(ISNUMBER(STDEV(BL8:BL19)),STDEV(BL8:BL19),"-")</f>
        <v>0.6985978385815359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6yryD5+Z6haftzqzEfqdEJOsIW8NdTL3OncaGcoXm8G3NFt4Y+7+0JI5Yo54nVtEV+Xu88i+3d3WIeGotT/Cjw==" saltValue="CPwUKetXAlBR6yGCZJUwq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OVIEDO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0.28540209790209792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0.20180975879144036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3iW6dIHimegyPDYwMM7l3K1uCegGtzezccnU5U/1kf0zAlHAcjGB7hsZRZZahy3bP7zTJPDjmDnL8m9Zh9TL+A==" saltValue="Ti7fOf3U9Y2xHh+FCi3H/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OVIEDO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Q/Ige9aL4Z8advspNMgfFHYHKhF6239AsUcVoiYCDt9z5XCAK3pU0TTjGpUkw89FgTvB/O0QaLxEUbUVfj8Xw==" saltValue="RRP0otU+p0IHOnRna0qA2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OVIEDO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H9O2hHdttVJKAAbqfAtxzEth9O+jKfKzXP5iivYzJNLH9SCykQF/mcH5aKdDO6IUI1Q/lOKOJ2ZIYGXUjsEVA==" saltValue="srPA/kWNuPEed4q+EEb+s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OVIEDO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10</v>
      </c>
      <c r="C9" s="409">
        <f>Datos!AQ9</f>
        <v>10</v>
      </c>
      <c r="D9" s="402">
        <f>IF(ISNUMBER(Datos!M9),Datos!M9," - ")</f>
        <v>1153</v>
      </c>
      <c r="E9" s="403">
        <f t="shared" ref="E9:E13" si="0">IF(ISNUMBER(D9/B9),D9/B9," - ")</f>
        <v>115.3</v>
      </c>
      <c r="F9" s="402">
        <f>IF(ISNUMBER(Datos!N9),Datos!N9," - ")</f>
        <v>1456</v>
      </c>
      <c r="G9" s="403">
        <f t="shared" ref="G9:G13" si="1">IF(ISNUMBER(F9/B9),F9/B9," - ")</f>
        <v>145.6</v>
      </c>
      <c r="H9" s="402">
        <f>IF(ISNUMBER(Datos!O9),Datos!O9," - ")</f>
        <v>1900</v>
      </c>
      <c r="I9" s="403">
        <f>IF(ISNUMBER(H9/B9),H9/B9," - ")</f>
        <v>190</v>
      </c>
      <c r="BZ9" s="1181">
        <f>Datos!EZ9</f>
        <v>0</v>
      </c>
    </row>
    <row r="10" spans="1:78">
      <c r="A10" s="401" t="str">
        <f>Datos!A10</f>
        <v>Sección De Violencia sobre la Mujer del TI</v>
      </c>
      <c r="B10" s="426">
        <f>Datos!AO10</f>
        <v>1</v>
      </c>
      <c r="C10" s="409">
        <f>Datos!AQ10</f>
        <v>1</v>
      </c>
      <c r="D10" s="402">
        <f>IF(ISNUMBER(Datos!M10),Datos!M10," - ")</f>
        <v>22</v>
      </c>
      <c r="E10" s="403">
        <f>IF(ISNUMBER(D10/B10),D10/B10," - ")</f>
        <v>22</v>
      </c>
      <c r="F10" s="402">
        <f>IF(ISNUMBER(Datos!N10),Datos!N10," - ")</f>
        <v>13</v>
      </c>
      <c r="G10" s="403">
        <f>IF(ISNUMBER(F10/B10),F10/B10," - ")</f>
        <v>13</v>
      </c>
      <c r="H10" s="402">
        <f>IF(ISNUMBER(Datos!O10),Datos!O10," - ")</f>
        <v>9</v>
      </c>
      <c r="I10" s="403">
        <f t="shared" ref="I10:I12" si="2">IF(ISNUMBER(H10/B10),H10/B10," - ")</f>
        <v>9</v>
      </c>
      <c r="BZ10" s="1181">
        <f>Datos!EZ10</f>
        <v>0</v>
      </c>
    </row>
    <row r="11" spans="1:78">
      <c r="A11" s="401" t="str">
        <f>Datos!A11</f>
        <v xml:space="preserve">Sección de Familia, infancia e incapacidad del TI                           </v>
      </c>
      <c r="B11" s="426">
        <f>Datos!AO11</f>
        <v>3</v>
      </c>
      <c r="C11" s="409">
        <f>Datos!AQ11</f>
        <v>2</v>
      </c>
      <c r="D11" s="402">
        <f>IF(ISNUMBER(Datos!M11),Datos!M11," - ")</f>
        <v>131</v>
      </c>
      <c r="E11" s="403">
        <f t="shared" si="0"/>
        <v>43.666666666666664</v>
      </c>
      <c r="F11" s="402">
        <f>IF(ISNUMBER(Datos!N11),Datos!N11," - ")</f>
        <v>289</v>
      </c>
      <c r="G11" s="403">
        <f t="shared" si="1"/>
        <v>96.333333333333329</v>
      </c>
      <c r="H11" s="402">
        <f>IF(ISNUMBER(Datos!O11),Datos!O11," - ")</f>
        <v>118</v>
      </c>
      <c r="I11" s="403">
        <f t="shared" si="2"/>
        <v>39.333333333333336</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14</v>
      </c>
      <c r="C13" s="848">
        <f>Datos!AR13</f>
        <v>13</v>
      </c>
      <c r="D13" s="846">
        <f>SUBTOTAL(9,D9:D12)</f>
        <v>1306</v>
      </c>
      <c r="E13" s="847">
        <f t="shared" si="0"/>
        <v>93.285714285714292</v>
      </c>
      <c r="F13" s="846">
        <f>SUBTOTAL(9,F9:F12)</f>
        <v>1758</v>
      </c>
      <c r="G13" s="847">
        <f t="shared" si="1"/>
        <v>125.57142857142857</v>
      </c>
      <c r="H13" s="846">
        <f>SUBTOTAL(9,H9:H12)</f>
        <v>2027</v>
      </c>
      <c r="I13" s="847">
        <f>IF(ISNUMBER(H13/B13),H13/B13," - ")</f>
        <v>144.78571428571428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4</v>
      </c>
      <c r="C15" s="427">
        <f>Datos!AQ15</f>
        <v>4</v>
      </c>
      <c r="D15" s="402">
        <f>IF(ISNUMBER(Datos!M15),Datos!M15," - ")</f>
        <v>492</v>
      </c>
      <c r="E15" s="403">
        <f t="shared" ref="E15:E19" si="3">IF(ISNUMBER(D15/B15),D15/B15," - ")</f>
        <v>123</v>
      </c>
      <c r="F15" s="402">
        <f>IF(ISNUMBER(Datos!N15),Datos!N15," - ")</f>
        <v>2233</v>
      </c>
      <c r="G15" s="403">
        <f t="shared" ref="G15:G19" si="4">IF(ISNUMBER(F15/B15),F15/B15," - ")</f>
        <v>558.25</v>
      </c>
      <c r="H15" s="402">
        <f>IF(ISNUMBER(Datos!O15),Datos!O15," - ")</f>
        <v>129</v>
      </c>
      <c r="I15" s="403">
        <f t="shared" ref="I15:I18" si="5">IF(ISNUMBER(H15/B15),H15/B15," - ")</f>
        <v>32.25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48</v>
      </c>
      <c r="E18" s="403">
        <f>IF(ISNUMBER(D18/B18),D18/B18," - ")</f>
        <v>48</v>
      </c>
      <c r="F18" s="402">
        <f>IF(ISNUMBER(Datos!N18),Datos!N18," - ")</f>
        <v>198</v>
      </c>
      <c r="G18" s="403">
        <f>IF(ISNUMBER(F18/B18),F18/B18," - ")</f>
        <v>198</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540</v>
      </c>
      <c r="E19" s="847">
        <f t="shared" si="3"/>
        <v>108</v>
      </c>
      <c r="F19" s="846">
        <f>SUBTOTAL(9,F15:F18)</f>
        <v>2431</v>
      </c>
      <c r="G19" s="847">
        <f t="shared" si="4"/>
        <v>486.2</v>
      </c>
      <c r="H19" s="846">
        <f>SUBTOTAL(9,H15:H18)</f>
        <v>129</v>
      </c>
      <c r="I19" s="847">
        <f>IF(ISNUMBER(H19/B19),H19/B19," - ")</f>
        <v>25.8</v>
      </c>
      <c r="BZ19" s="1181"/>
    </row>
    <row r="20" spans="1:78" ht="14.25" thickTop="1" thickBot="1">
      <c r="A20" s="790" t="str">
        <f>Datos!A20</f>
        <v>TOTAL JURISDICCIONES</v>
      </c>
      <c r="B20" s="791">
        <f>Datos!AP20</f>
        <v>18</v>
      </c>
      <c r="C20" s="791">
        <f>Datos!AR20</f>
        <v>17</v>
      </c>
      <c r="D20" s="791">
        <f>SUBTOTAL(9,D8:D19)</f>
        <v>1846</v>
      </c>
      <c r="E20" s="792">
        <f>IF(ISNUMBER(D20/B20),D20/B20," - ")</f>
        <v>102.55555555555556</v>
      </c>
      <c r="F20" s="791">
        <f>SUBTOTAL(9,F8:F19)</f>
        <v>4189</v>
      </c>
      <c r="G20" s="792">
        <f>IF(ISNUMBER(F20/B20),F20/B20," - ")</f>
        <v>232.72222222222223</v>
      </c>
      <c r="H20" s="791">
        <f>SUBTOTAL(9,H8:H19)</f>
        <v>2156</v>
      </c>
      <c r="I20" s="792">
        <f>IF(ISNUMBER(H20/B20),H20/B20," - ")</f>
        <v>119.77777777777777</v>
      </c>
    </row>
    <row r="23" spans="1:78">
      <c r="A23" s="390" t="str">
        <f>Criterios!A4</f>
        <v>Fecha Informe: 18 jun. 2026</v>
      </c>
    </row>
    <row r="28" spans="1:78">
      <c r="A28" s="413"/>
    </row>
  </sheetData>
  <sheetProtection algorithmName="SHA-512" hashValue="SabGeXZDcn3NHdLpbbRYGObLI0jcBLEIcfMo9MssRNL087ReBEsFZexVvirsmyNHy5EDY1JZ57/mfPYN1EiUCw==" saltValue="a8NLW3zj2emPppjT8NPl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OVIEDO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873</v>
      </c>
      <c r="C9" s="433">
        <f>IF(ISNUMBER(Datos!Q9),Datos!Q9," - ")</f>
        <v>1019</v>
      </c>
      <c r="D9" s="407">
        <f>IF(ISNUMBER(Datos!R9),Datos!R9," - ")</f>
        <v>11673</v>
      </c>
    </row>
    <row r="10" spans="1:4">
      <c r="A10" s="401" t="str">
        <f>Datos!A10</f>
        <v>Sección De Violencia sobre la Mujer del TI</v>
      </c>
      <c r="B10" s="432">
        <f>IF(ISNUMBER(Datos!P10),Datos!P10," - ")</f>
        <v>11</v>
      </c>
      <c r="C10" s="433">
        <f>IF(ISNUMBER(Datos!Q10),Datos!Q10," - ")</f>
        <v>1</v>
      </c>
      <c r="D10" s="407">
        <f>IF(ISNUMBER(Datos!R10),Datos!R10," - ")</f>
        <v>74</v>
      </c>
    </row>
    <row r="11" spans="1:4">
      <c r="A11" s="401" t="str">
        <f>Datos!A11</f>
        <v xml:space="preserve">Sección de Familia, infancia e incapacidad del TI                           </v>
      </c>
      <c r="B11" s="432">
        <f>IF(ISNUMBER(Datos!P11),Datos!P11," - ")</f>
        <v>46</v>
      </c>
      <c r="C11" s="433">
        <f>IF(ISNUMBER(Datos!Q11),Datos!Q11," - ")</f>
        <v>72</v>
      </c>
      <c r="D11" s="407">
        <f>IF(ISNUMBER(Datos!R11),Datos!R11," - ")</f>
        <v>261</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930</v>
      </c>
      <c r="C13" s="850">
        <f>SUBTOTAL(9,C9:C12)</f>
        <v>1092</v>
      </c>
      <c r="D13" s="848">
        <f>SUBTOTAL(9,D9:D12)</f>
        <v>12008</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204</v>
      </c>
      <c r="C15" s="433">
        <f>IF(ISNUMBER(Datos!Q15),Datos!Q15," - ")</f>
        <v>169</v>
      </c>
      <c r="D15" s="407">
        <f>IF(ISNUMBER(Datos!R15),Datos!R15," - ")</f>
        <v>709</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7</v>
      </c>
      <c r="C18" s="433">
        <f>IF(ISNUMBER(Datos!Q18),Datos!Q18," - ")</f>
        <v>4</v>
      </c>
      <c r="D18" s="407">
        <f>IF(ISNUMBER(Datos!R18),Datos!R18," - ")</f>
        <v>9</v>
      </c>
    </row>
    <row r="19" spans="1:4" ht="14.25" thickTop="1" thickBot="1">
      <c r="A19" s="845" t="str">
        <f>Datos!A19</f>
        <v>TOTAL</v>
      </c>
      <c r="B19" s="846">
        <f>SUBTOTAL(9,B15:B18)</f>
        <v>211</v>
      </c>
      <c r="C19" s="850">
        <f>SUBTOTAL(9,C15:C18)</f>
        <v>173</v>
      </c>
      <c r="D19" s="848">
        <f>SUBTOTAL(9,D15:D18)</f>
        <v>718</v>
      </c>
    </row>
    <row r="20" spans="1:4" ht="16.5" customHeight="1" thickTop="1" thickBot="1">
      <c r="A20" s="790" t="str">
        <f>Datos!A20</f>
        <v>TOTAL JURISDICCIONES</v>
      </c>
      <c r="B20" s="795">
        <f>SUBTOTAL(9,B8:B19)</f>
        <v>1141</v>
      </c>
      <c r="C20" s="796">
        <f>SUBTOTAL(9,C8:C19)</f>
        <v>1265</v>
      </c>
      <c r="D20" s="797">
        <f>SUBTOTAL(9,D8:D19)</f>
        <v>12726</v>
      </c>
    </row>
    <row r="21" spans="1:4" ht="7.5" customHeight="1"/>
    <row r="22" spans="1:4" ht="6" customHeight="1"/>
    <row r="23" spans="1:4">
      <c r="A23" s="390" t="str">
        <f>Criterios!A4</f>
        <v>Fecha Informe: 18 jun. 2026</v>
      </c>
    </row>
    <row r="28" spans="1:4">
      <c r="A28" s="413"/>
    </row>
  </sheetData>
  <sheetProtection algorithmName="SHA-512" hashValue="dKBibF1/q+RbiLrX4qSnQ28KqtKA3Zb/wJCUnBkz9RecRAGeWQs/BmN4Y0bxyy+RxNfoXmOQ2W5JEIa6YD07eQ==" saltValue="5SaEzSUVMcZ+fpv/arTH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OVIEDO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-0.2320356714114217</v>
      </c>
      <c r="C9" s="455">
        <f>IF(ISNUMBER(
   IF(J_V="SI",(Datos!J9-Datos!T9)/Datos!T9,(Datos!J9+Datos!Z9-(Datos!T9+Datos!AH9))/(Datos!T9+Datos!AH9))
     ),IF(J_V="SI",(Datos!J9-Datos!T9)/Datos!T9,(Datos!J9+Datos!Z9-(Datos!T9+Datos!AH9))/(Datos!T9+Datos!AH9))," - ")</f>
        <v>-0.37354267060469454</v>
      </c>
      <c r="D9" s="455">
        <f>IF(ISNUMBER(
   IF(J_V="SI",(Datos!K9-Datos!U9)/Datos!U9,(Datos!K9+Datos!AA9-(Datos!U9+Datos!AI9))/(Datos!U9+Datos!AI9))
     ),IF(J_V="SI",(Datos!K9-Datos!U9)/Datos!U9,(Datos!K9+Datos!AA9-(Datos!U9+Datos!AI9))/(Datos!U9+Datos!AI9))," - ")</f>
        <v>-0.20227808326787117</v>
      </c>
      <c r="E9" s="455">
        <f>IF(ISNUMBER(
   IF(J_V="SI",(Datos!L9-Datos!V9)/Datos!V9,(Datos!L9+Datos!AB9-(Datos!V9+Datos!AJ9))/(Datos!V9+Datos!AJ9))
     ),IF(J_V="SI",(Datos!L9-Datos!V9)/Datos!V9,(Datos!L9+Datos!AB9-(Datos!V9+Datos!AJ9))/(Datos!V9+Datos!AJ9))," - ")</f>
        <v>-0.38279510022271712</v>
      </c>
      <c r="F9" s="455">
        <f>IF(ISNUMBER((Datos!M9-Datos!W9)/Datos!W9),(Datos!M9-Datos!W9)/Datos!W9," - ")</f>
        <v>-0.24044795783926218</v>
      </c>
      <c r="G9" s="456">
        <f>IF(ISNUMBER((Datos!N9-Datos!X9)/Datos!X9),(Datos!N9-Datos!X9)/Datos!X9," - ")</f>
        <v>-0.29525653436592447</v>
      </c>
      <c r="H9" s="454">
        <f>IF(ISNUMBER(((NºAsuntos!G9/NºAsuntos!E9)-Datos!BD9)/Datos!BD9),((NºAsuntos!G9/NºAsuntos!E9)-Datos!BD9)/Datos!BD9," - ")</f>
        <v>0.27338587849572821</v>
      </c>
      <c r="I9" s="455">
        <f>IF(ISNUMBER(((NºAsuntos!I9/NºAsuntos!G9)-Datos!BE9)/Datos!BE9),((NºAsuntos!I9/NºAsuntos!G9)-Datos!BE9)/Datos!BE9," - ")</f>
        <v>-0.22629065739391335</v>
      </c>
      <c r="J9" s="460">
        <f>IF(ISNUMBER((('Resol  Asuntos'!D9/NºAsuntos!G9)-Datos!BF9)/Datos!BF9),(('Resol  Asuntos'!D9/NºAsuntos!G9)-Datos!BF9)/Datos!BF9," - ")</f>
        <v>-0.30040376106458311</v>
      </c>
      <c r="K9" s="461">
        <f>IF(ISNUMBER((((NºAsuntos!C9+NºAsuntos!E9)/NºAsuntos!G9)-Datos!BG9)/Datos!BG9),(((NºAsuntos!C9+NºAsuntos!E9)/NºAsuntos!G9)-Datos!BG9)/Datos!BG9," - ")</f>
        <v>-0.13035137366899172</v>
      </c>
    </row>
    <row r="10" spans="1:11" ht="21">
      <c r="A10" s="401" t="str">
        <f>Datos!A10</f>
        <v>Sección De Violencia sobre la Mujer del TI</v>
      </c>
      <c r="B10" s="454">
        <f>IF(ISNUMBER((Datos!I10-Datos!S10)/Datos!S10),(Datos!I10-Datos!S10)/Datos!S10," - ")</f>
        <v>-0.34513274336283184</v>
      </c>
      <c r="C10" s="455">
        <f>IF(ISNUMBER((Datos!J10-Datos!T10)/Datos!T10),(Datos!J10-Datos!T10)/Datos!T10," - ")</f>
        <v>-0.40659340659340659</v>
      </c>
      <c r="D10" s="455">
        <f>IF(ISNUMBER((Datos!K10-Datos!U10)/Datos!U10),(Datos!K10-Datos!U10)/Datos!U10," - ")</f>
        <v>-0.43421052631578949</v>
      </c>
      <c r="E10" s="455">
        <f>IF(ISNUMBER((Datos!L10-Datos!V10)/Datos!V10),(Datos!L10-Datos!V10)/Datos!V10," - ")</f>
        <v>-0.3359375</v>
      </c>
      <c r="F10" s="455">
        <f>IF(ISNUMBER((Datos!M10-Datos!W10)/Datos!W10),(Datos!M10-Datos!W10)/Datos!W10," - ")</f>
        <v>0</v>
      </c>
      <c r="G10" s="456">
        <f>IF(ISNUMBER((Datos!N10-Datos!X10)/Datos!X10),(Datos!N10-Datos!X10)/Datos!X10," - ")</f>
        <v>-0.58064516129032262</v>
      </c>
      <c r="H10" s="454">
        <f>IF(ISNUMBER(((NºAsuntos!G10/NºAsuntos!E10)-Datos!BD10)/Datos!BD10),((NºAsuntos!G10/NºAsuntos!E10)-Datos!BD10)/Datos!BD10," - ")</f>
        <v>-4.6539961013645277E-2</v>
      </c>
      <c r="I10" s="455">
        <f>IF(ISNUMBER(((NºAsuntos!I10/NºAsuntos!G10)-Datos!BE10)/Datos!BE10),((NºAsuntos!I10/NºAsuntos!G10)-Datos!BE10)/Datos!BE10," - ")</f>
        <v>0.17369186046511631</v>
      </c>
      <c r="J10" s="460">
        <f>IF(ISNUMBER((('Resol  Asuntos'!D10/NºAsuntos!G10)-Datos!BF10)/Datos!BF10),(('Resol  Asuntos'!D10/NºAsuntos!G10)-Datos!BF10)/Datos!BF10," - ")</f>
        <v>0.76744186046511631</v>
      </c>
      <c r="K10" s="461">
        <f>IF(ISNUMBER((((NºAsuntos!C10+NºAsuntos!E10)/NºAsuntos!G10)-Datos!BG10)/Datos!BG10),(((NºAsuntos!C10+NºAsuntos!E10)/NºAsuntos!G10)-Datos!BG10)/Datos!BG10," - ")</f>
        <v>0.10898312813497495</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-9.8173515981735154E-2</v>
      </c>
      <c r="C11" s="455">
        <f>IF(ISNUMBER(
   IF(J_V="SI",(Datos!J11-Datos!T11)/Datos!T11,(Datos!J11+Datos!Z11-(Datos!T11+Datos!AH11))/(Datos!T11+Datos!AH11))
     ),IF(J_V="SI",(Datos!J11-Datos!T11)/Datos!T11,(Datos!J11+Datos!Z11-(Datos!T11+Datos!AH11))/(Datos!T11+Datos!AH11))," - ")</f>
        <v>-0.1781874039938556</v>
      </c>
      <c r="D11" s="455">
        <f>IF(ISNUMBER(
   IF(J_V="SI",(Datos!K11-Datos!U11)/Datos!U11,(Datos!K11+Datos!AA11-(Datos!U11+Datos!AI11))/(Datos!U11+Datos!AI11))
     ),IF(J_V="SI",(Datos!K11-Datos!U11)/Datos!U11,(Datos!K11+Datos!AA11-(Datos!U11+Datos!AI11))/(Datos!U11+Datos!AI11))," - ")</f>
        <v>-0.26976744186046514</v>
      </c>
      <c r="E11" s="455">
        <f>IF(ISNUMBER(
   IF(J_V="SI",(Datos!L11-Datos!V11)/Datos!V11,(Datos!L11+Datos!AB11-(Datos!V11+Datos!AJ11))/(Datos!V11+Datos!AJ11))
     ),IF(J_V="SI",(Datos!L11-Datos!V11)/Datos!V11,(Datos!L11+Datos!AB11-(Datos!V11+Datos!AJ11))/(Datos!V11+Datos!AJ11))," - ")</f>
        <v>3.3783783783783786E-2</v>
      </c>
      <c r="F11" s="455">
        <f>IF(ISNUMBER((Datos!M11-Datos!W11)/Datos!W11),(Datos!M11-Datos!W11)/Datos!W11," - ")</f>
        <v>-0.27624309392265195</v>
      </c>
      <c r="G11" s="456">
        <f>IF(ISNUMBER((Datos!N11-Datos!X11)/Datos!X11),(Datos!N11-Datos!X11)/Datos!X11," - ")</f>
        <v>-0.27386934673366836</v>
      </c>
      <c r="H11" s="454">
        <f>IF(ISNUMBER(((NºAsuntos!G11/NºAsuntos!E11)-Datos!BD11)/Datos!BD11),((NºAsuntos!G11/NºAsuntos!E11)-Datos!BD11)/Datos!BD11," - ")</f>
        <v>-0.11143664420778095</v>
      </c>
      <c r="I11" s="455">
        <f>IF(ISNUMBER(((NºAsuntos!I11/NºAsuntos!G11)-Datos!BE11)/Datos!BE11),((NºAsuntos!I11/NºAsuntos!G11)-Datos!BE11)/Datos!BE11," - ")</f>
        <v>0.41569116887588214</v>
      </c>
      <c r="J11" s="460">
        <f>IF(ISNUMBER((('Resol  Asuntos'!D11/NºAsuntos!G11)-Datos!BF11)/Datos!BF11),(('Resol  Asuntos'!D11/NºAsuntos!G11)-Datos!BF11)/Datos!BF11," - ")</f>
        <v>-0.54925903402362131</v>
      </c>
      <c r="K11" s="461">
        <f>IF(ISNUMBER((((NºAsuntos!C11+NºAsuntos!E11)/NºAsuntos!G11)-Datos!BG11)/Datos!BG11),(((NºAsuntos!C11+NºAsuntos!E11)/NºAsuntos!G11)-Datos!BG11)/Datos!BG11," - ")</f>
        <v>0.16948290080889969</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-0.22485114384205579</v>
      </c>
      <c r="C13" s="852">
        <f>IF(ISNUMBER(
   IF(J_V="SI",(Datos!J13-Datos!T13)/Datos!T13,(Datos!J13+Datos!Z13-(Datos!T13+Datos!AH13))/(Datos!T13+Datos!AH13))
     ),IF(J_V="SI",(Datos!J13-Datos!T13)/Datos!T13,(Datos!J13+Datos!Z13-(Datos!T13+Datos!AH13))/(Datos!T13+Datos!AH13))," - ")</f>
        <v>-0.35623693379790938</v>
      </c>
      <c r="D13" s="852">
        <f>IF(ISNUMBER(
   IF(J_V="SI",(Datos!K13-Datos!U13)/Datos!U13,(Datos!K13+Datos!AA13-(Datos!U13+Datos!AI13))/(Datos!U13+Datos!AI13))
     ),IF(J_V="SI",(Datos!K13-Datos!U13)/Datos!U13,(Datos!K13+Datos!AA13-(Datos!U13+Datos!AI13))/(Datos!U13+Datos!AI13))," - ")</f>
        <v>-0.21279889901943919</v>
      </c>
      <c r="E13" s="852">
        <f>IF(ISNUMBER(
   IF(J_V="SI",(Datos!L13-Datos!V13)/Datos!V13,(Datos!L13+Datos!AB13-(Datos!V13+Datos!AJ13))/(Datos!V13+Datos!AJ13))
     ),IF(J_V="SI",(Datos!L13-Datos!V13)/Datos!V13,(Datos!L13+Datos!AB13-(Datos!V13+Datos!AJ13))/(Datos!V13+Datos!AJ13))," - ")</f>
        <v>-0.35817431665807115</v>
      </c>
      <c r="F13" s="853">
        <f>IF(ISNUMBER((Datos!M13-Datos!W13)/Datos!W13),(Datos!M13-Datos!W13)/Datos!W13," - ")</f>
        <v>-0.24113887274840209</v>
      </c>
      <c r="G13" s="854">
        <f>IF(ISNUMBER((Datos!N13-Datos!X13)/Datos!X13),(Datos!N13-Datos!X13)/Datos!X13," - ")</f>
        <v>-0.29539078156312626</v>
      </c>
      <c r="H13" s="854">
        <f>IF(ISNUMBER(((NºAsuntos!G13/NºAsuntos!E13)-Datos!BD13)/Datos!BD13),((NºAsuntos!G13/NºAsuntos!E13)-Datos!BD13)/Datos!BD13," - ")</f>
        <v>0.2228118422895701</v>
      </c>
      <c r="I13" s="854">
        <f>IF(ISNUMBER(((NºAsuntos!I13/NºAsuntos!G13)-Datos!BE13)/Datos!BE13),((NºAsuntos!I13/NºAsuntos!G13)-Datos!BE13)/Datos!BE13," - ")</f>
        <v>-0.18467379867424988</v>
      </c>
      <c r="J13" s="854">
        <f>IF(ISNUMBER((('Resol  Asuntos'!D13/NºAsuntos!G13)-Datos!BF13)/Datos!BF13),(('Resol  Asuntos'!D13/NºAsuntos!G13)-Datos!BF13)/Datos!BF13," - ")</f>
        <v>-0.33264585876713787</v>
      </c>
      <c r="K13" s="854">
        <f>IF(ISNUMBER((((NºAsuntos!C13+NºAsuntos!E13)/NºAsuntos!G13)-Datos!BG13)/Datos!BG13),(((NºAsuntos!C13+NºAsuntos!E13)/NºAsuntos!G13)-Datos!BG13)/Datos!BG13," - ")</f>
        <v>-0.10364284881600662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-0.12856099342585828</v>
      </c>
      <c r="C15" s="455">
        <f>IF(ISNUMBER(
   IF(D_I="SI",(Datos!J15-Datos!T15)/Datos!T15,(Datos!J15+Datos!AD15-(Datos!T15+Datos!AL15))/(Datos!T15+Datos!AL15))
     ),IF(D_I="SI",(Datos!J15-Datos!T15)/Datos!T15,(Datos!J15+Datos!AD15-(Datos!T15+Datos!AL15))/(Datos!T15+Datos!AL15))," - ")</f>
        <v>4.8149262714414685E-2</v>
      </c>
      <c r="D15" s="455">
        <f>IF(ISNUMBER(
   IF(D_I="SI",(Datos!K15-Datos!U15)/Datos!U15,(Datos!K15+Datos!AE15-(Datos!U15+Datos!AM15))/(Datos!U15+Datos!AM15))
     ),IF(D_I="SI",(Datos!K15-Datos!U15)/Datos!U15,(Datos!K15+Datos!AE15-(Datos!U15+Datos!AM15))/(Datos!U15+Datos!AM15))," - ")</f>
        <v>8.4911423335369579E-2</v>
      </c>
      <c r="E15" s="455">
        <f>IF(ISNUMBER(
   IF(D_I="SI",(Datos!L15-Datos!V15)/Datos!V15,(Datos!L15+Datos!AF15-(Datos!V15+Datos!AN15))/(Datos!V15+Datos!AN15))
     ),IF(D_I="SI",(Datos!L15-Datos!V15)/Datos!V15,(Datos!L15+Datos!AF15-(Datos!V15+Datos!AN15))/(Datos!V15+Datos!AN15))," - ")</f>
        <v>-0.12868823320298614</v>
      </c>
      <c r="F15" s="455">
        <f>IF(ISNUMBER((Datos!M15-Datos!W15)/Datos!W15),(Datos!M15-Datos!W15)/Datos!W15," - ")</f>
        <v>0.22388059701492538</v>
      </c>
      <c r="G15" s="456">
        <f>IF(ISNUMBER((Datos!N15-Datos!X15)/Datos!X15),(Datos!N15-Datos!X15)/Datos!X15," - ")</f>
        <v>0.11817726589884828</v>
      </c>
      <c r="H15" s="454">
        <f>IF(ISNUMBER(((NºAsuntos!G15/NºAsuntos!E15)-Datos!BD15)/Datos!BD15),((NºAsuntos!G15/NºAsuntos!E15)-Datos!BD15)/Datos!BD15," - ")</f>
        <v>3.5073402165786111E-2</v>
      </c>
      <c r="I15" s="455">
        <f>IF(ISNUMBER(((NºAsuntos!I15/NºAsuntos!G15)-Datos!BE15)/Datos!BE15),((NºAsuntos!I15/NºAsuntos!G15)-Datos!BE15)/Datos!BE15," - ")</f>
        <v>-0.19688211585207677</v>
      </c>
      <c r="J15" s="460">
        <f>IF(ISNUMBER((('Resol  Asuntos'!D15/NºAsuntos!G15)-Datos!BF15)/Datos!BF15),(('Resol  Asuntos'!D15/NºAsuntos!G15)-Datos!BF15)/Datos!BF15," - ")</f>
        <v>0.12809264488368965</v>
      </c>
      <c r="K15" s="461">
        <f>IF(ISNUMBER((((NºAsuntos!C15+NºAsuntos!E15)/NºAsuntos!G15)-Datos!BG15)/Datos!BG15),(((NºAsuntos!C15+NºAsuntos!E15)/NºAsuntos!G15)-Datos!BG15)/Datos!BG15," - ")</f>
        <v>-0.10746440839453536</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-7.9646017699115043E-2</v>
      </c>
      <c r="C18" s="455">
        <f>IF(ISNUMBER(
   IF(D_I="SI",(Datos!J18-Datos!T18)/Datos!T18,(Datos!J18+Datos!AD18-(Datos!T18+Datos!AL18))/(Datos!T18+Datos!AL18))
     ),IF(D_I="SI",(Datos!J18-Datos!T18)/Datos!T18,(Datos!J18+Datos!AD18-(Datos!T18+Datos!AL18))/(Datos!T18+Datos!AL18))," - ")</f>
        <v>0.17158176943699732</v>
      </c>
      <c r="D18" s="455">
        <f>IF(ISNUMBER(
   IF(D_I="SI",(Datos!K18-Datos!U18)/Datos!U18,(Datos!K18+Datos!AE18-(Datos!U18+Datos!AM18))/(Datos!U18+Datos!AM18))
     ),IF(D_I="SI",(Datos!K18-Datos!U18)/Datos!U18,(Datos!K18+Datos!AE18-(Datos!U18+Datos!AM18))/(Datos!U18+Datos!AM18))," - ")</f>
        <v>7.1999999999999995E-2</v>
      </c>
      <c r="E18" s="455">
        <f>IF(ISNUMBER(
   IF(D_I="SI",(Datos!L18-Datos!V18)/Datos!V18,(Datos!L18+Datos!AF18-(Datos!V18+Datos!AN18))/(Datos!V18+Datos!AN18))
     ),IF(D_I="SI",(Datos!L18-Datos!V18)/Datos!V18,(Datos!L18+Datos!AF18-(Datos!V18+Datos!AN18))/(Datos!V18+Datos!AN18))," - ")</f>
        <v>8.9285714285714281E-3</v>
      </c>
      <c r="F18" s="455">
        <f>IF(ISNUMBER((Datos!M18-Datos!W18)/Datos!W18),(Datos!M18-Datos!W18)/Datos!W18," - ")</f>
        <v>-0.26153846153846155</v>
      </c>
      <c r="G18" s="456">
        <f>IF(ISNUMBER((Datos!N18-Datos!X18)/Datos!X18),(Datos!N18-Datos!X18)/Datos!X18," - ")</f>
        <v>-5.0251256281407036E-3</v>
      </c>
      <c r="H18" s="454">
        <f>IF(ISNUMBER(((NºAsuntos!G18/NºAsuntos!E18)-Datos!BD18)/Datos!BD18),((NºAsuntos!G18/NºAsuntos!E18)-Datos!BD18)/Datos!BD18," - ")</f>
        <v>-8.4997711670480522E-2</v>
      </c>
      <c r="I18" s="455">
        <f>IF(ISNUMBER(((NºAsuntos!I18/NºAsuntos!G18)-Datos!BE18)/Datos!BE18),((NºAsuntos!I18/NºAsuntos!G18)-Datos!BE18)/Datos!BE18," - ")</f>
        <v>-5.8835287846481961E-2</v>
      </c>
      <c r="J18" s="460">
        <f>IF(ISNUMBER((('Resol  Asuntos'!D18/NºAsuntos!G18)-Datos!BF18)/Datos!BF18),(('Resol  Asuntos'!D18/NºAsuntos!G18)-Datos!BF18)/Datos!BF18," - ")</f>
        <v>-0.31113662456946045</v>
      </c>
      <c r="K18" s="461">
        <f>IF(ISNUMBER((((NºAsuntos!C18+NºAsuntos!E18)/NºAsuntos!G18)-Datos!BG18)/Datos!BG18),(((NºAsuntos!C18+NºAsuntos!E18)/NºAsuntos!G18)-Datos!BG18)/Datos!BG18," - ")</f>
        <v>4.4726285102036616E-3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-0.12483130904183536</v>
      </c>
      <c r="C19" s="852">
        <f>IF(ISNUMBER(
   IF(Criterios!B14="SI",(Datos!J19-Datos!T19)/Datos!T19,(Datos!J19+Datos!AD19-(Datos!T19+Datos!AL19))/(Datos!T19+Datos!AL19))
     ),IF(Criterios!B14="SI",(Datos!J19-Datos!T19)/Datos!T19,(Datos!J19+Datos!AD19-(Datos!T19+Datos!AL19))/(Datos!T19+Datos!AL19))," - ")</f>
        <v>6.0606060606060608E-2</v>
      </c>
      <c r="D19" s="852">
        <f>IF(ISNUMBER(
   IF(Criterios!B14="SI",(Datos!K19-Datos!U19)/Datos!U19,(Datos!K19+Datos!AE19-(Datos!U19+Datos!AM19))/(Datos!U19+Datos!AM19))
     ),IF(Criterios!B14="SI",(Datos!K19-Datos!U19)/Datos!U19,(Datos!K19+Datos!AE19-(Datos!U19+Datos!AM19))/(Datos!U19+Datos!AM19))," - ")</f>
        <v>8.3584543710605641E-2</v>
      </c>
      <c r="E19" s="852">
        <f>IF(ISNUMBER(
   IF(Criterios!B14="SI",(Datos!L19-Datos!V19)/Datos!V19,(Datos!L19+Datos!AF19-(Datos!V19+Datos!AN19))/(Datos!V19+Datos!AN19))
     ),IF(Criterios!B14="SI",(Datos!L19-Datos!V19)/Datos!V19,(Datos!L19+Datos!AF19-(Datos!V19+Datos!AN19))/(Datos!V19+Datos!AN19))," - ")</f>
        <v>-0.11853803095159697</v>
      </c>
      <c r="F19" s="853">
        <f>IF(ISNUMBER((Datos!M19-Datos!W19)/Datos!W19),(Datos!M19-Datos!W19)/Datos!W19," - ")</f>
        <v>0.15631691648822268</v>
      </c>
      <c r="G19" s="854">
        <f>IF(ISNUMBER((Datos!N19-Datos!X19)/Datos!X19),(Datos!N19-Datos!X19)/Datos!X19," - ")</f>
        <v>0.10701275045537341</v>
      </c>
      <c r="H19" s="854">
        <f>IF(ISNUMBER(((NºAsuntos!G19/NºAsuntos!E19)-Datos!BD19)/Datos!BD19),((NºAsuntos!G19/NºAsuntos!E19)-Datos!BD19)/Datos!BD19," - ")</f>
        <v>2.1665426927142364E-2</v>
      </c>
      <c r="I19" s="854">
        <f>IF(ISNUMBER(((NºAsuntos!I19/NºAsuntos!G19)-Datos!BE19)/Datos!BE19),((NºAsuntos!I19/NºAsuntos!G19)-Datos!BE19)/Datos!BE19," - ")</f>
        <v>-0.18653143018269536</v>
      </c>
      <c r="J19" s="854">
        <f>IF(ISNUMBER((('Resol  Asuntos'!D19/NºAsuntos!G19)-Datos!BF19)/Datos!BF19),(('Resol  Asuntos'!D19/NºAsuntos!G19)-Datos!BF19)/Datos!BF19," - ")</f>
        <v>6.7122010183491176E-2</v>
      </c>
      <c r="K19" s="854">
        <f>IF(ISNUMBER((((NºAsuntos!C19+NºAsuntos!E19)/NºAsuntos!G19)-Datos!BG19)/Datos!BG19),(((NºAsuntos!C19+NºAsuntos!E19)/NºAsuntos!G19)-Datos!BG19)/Datos!BG19," - ")</f>
        <v>-9.7368005334621366E-2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-0.19313075112347527</v>
      </c>
      <c r="C20" s="799">
        <f>IF(ISNUMBER(
   IF(J_V="SI",(Datos!J20-Datos!T20)/Datos!T20,(Datos!J20+Datos!Z20-(Datos!T20+Datos!AH20))/(Datos!T20+Datos!AH20))
     ),IF(J_V="SI",(Datos!J20-Datos!T20)/Datos!T20,(Datos!J20+Datos!Z20-(Datos!T20+Datos!AH20))/(Datos!T20+Datos!AH20))," - ")</f>
        <v>-0.21451568392972128</v>
      </c>
      <c r="D20" s="799">
        <f>IF(ISNUMBER(
   IF(J_V="SI",(Datos!K20-Datos!U20)/Datos!U20,(Datos!K20+Datos!AA20-(Datos!U20+Datos!AI20))/(Datos!U20+Datos!AI20))
     ),IF(J_V="SI",(Datos!K20-Datos!U20)/Datos!U20,(Datos!K20+Datos!AA20-(Datos!U20+Datos!AI20))/(Datos!U20+Datos!AI20))," - ")</f>
        <v>-9.8499260198689501E-2</v>
      </c>
      <c r="E20" s="799">
        <f>IF(ISNUMBER(
   IF(J_V="SI",(Datos!L20-Datos!V20)/Datos!V20,(Datos!L20+Datos!AB20-(Datos!V20+Datos!AJ20))/(Datos!V20+Datos!AJ20))
     ),IF(J_V="SI",(Datos!L20-Datos!V20)/Datos!V20,(Datos!L20+Datos!AB20-(Datos!V20+Datos!AJ20))/(Datos!V20+Datos!AJ20))," - ")</f>
        <v>-0.29074400074122114</v>
      </c>
      <c r="F20" s="800">
        <f>IF(ISNUMBER((Datos!M20-Datos!W20)/Datos!W20),(Datos!M20-Datos!W20)/Datos!W20," - ")</f>
        <v>-0.1563071297989031</v>
      </c>
      <c r="G20" s="801">
        <f>IF(ISNUMBER((Datos!N20-Datos!X20)/Datos!X20),(Datos!N20-Datos!X20)/Datos!X20," - ")</f>
        <v>-0.10701342997228735</v>
      </c>
      <c r="H20" s="802">
        <f>IF(ISNUMBER((Tasas!B20-Datos!BD20)/Datos!BD20),(Tasas!B20-Datos!BD20)/Datos!BD20," - ")</f>
        <v>0.1477004968239895</v>
      </c>
      <c r="I20" s="803">
        <f>IF(ISNUMBER((Tasas!C20-Datos!BE20)/Datos!BE20),(Tasas!C20-Datos!BE20)/Datos!BE20," - ")</f>
        <v>-0.21324967585151633</v>
      </c>
      <c r="J20" s="804">
        <f>IF(ISNUMBER((Tasas!D20-Datos!BF20)/Datos!BF20),(Tasas!D20-Datos!BF20)/Datos!BF20," - ")</f>
        <v>-0.30657074153929348</v>
      </c>
      <c r="K20" s="804">
        <f>IF(ISNUMBER((Tasas!E20-Datos!BG20)/Datos!BG20),(Tasas!E20-Datos!BG20)/Datos!BG20," - ")</f>
        <v>-0.11772647779795549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T4oN8Z6QfYEjGbL/uN5z4AqlEYDVooV+wYDMttr1JPnXzRIGGZXHkPXyLXXPDQtj5Nk/Ppl69wAOcJ0bMUkuOQ==" saltValue="aiYb/CpEy5pdhuCoBJGv+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OVIEDO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1.0079404466501241</v>
      </c>
      <c r="C9" s="442">
        <f>IF(ISNUMBER(NºAsuntos!I9/NºAsuntos!G9),NºAsuntos!I9/NºAsuntos!G9," - ")</f>
        <v>1.0915805022156573</v>
      </c>
      <c r="D9" s="443">
        <f>IF(ISNUMBER('Resol  Asuntos'!D9/NºAsuntos!G9),'Resol  Asuntos'!D9/NºAsuntos!G9," - ")</f>
        <v>0.28385032003938948</v>
      </c>
      <c r="E9" s="444">
        <f>IF(ISNUMBER((NºAsuntos!C9+NºAsuntos!E9)/NºAsuntos!G9),(NºAsuntos!C9+NºAsuntos!E9)/NºAsuntos!G9," - ")</f>
        <v>2.0945347119645494</v>
      </c>
      <c r="G9" s="462"/>
    </row>
    <row r="10" spans="1:7" ht="21">
      <c r="A10" s="401" t="str">
        <f>Datos!A10</f>
        <v>Sección De Violencia sobre la Mujer del TI</v>
      </c>
      <c r="B10" s="441">
        <f>IF(ISNUMBER(NºAsuntos!G10/NºAsuntos!E10),NºAsuntos!G10/NºAsuntos!E10," - ")</f>
        <v>0.79629629629629628</v>
      </c>
      <c r="C10" s="442">
        <f>IF(ISNUMBER(NºAsuntos!I10/NºAsuntos!G10),NºAsuntos!I10/NºAsuntos!G10," - ")</f>
        <v>1.9767441860465116</v>
      </c>
      <c r="D10" s="443">
        <f>IF(ISNUMBER('Resol  Asuntos'!D10/NºAsuntos!G10),'Resol  Asuntos'!D10/NºAsuntos!G10," - ")</f>
        <v>0.51162790697674421</v>
      </c>
      <c r="E10" s="444">
        <f>IF(ISNUMBER((NºAsuntos!C10+NºAsuntos!E10)/NºAsuntos!G10),(NºAsuntos!C10+NºAsuntos!E10)/NºAsuntos!G10," - ")</f>
        <v>2.9767441860465116</v>
      </c>
      <c r="G10" s="462"/>
    </row>
    <row r="11" spans="1:7" ht="21">
      <c r="A11" s="401" t="str">
        <f>Datos!A11</f>
        <v xml:space="preserve">Sección de Familia, infancia e incapacidad del TI                           </v>
      </c>
      <c r="B11" s="441">
        <f>IF(ISNUMBER(NºAsuntos!G11/NºAsuntos!E11),NºAsuntos!G11/NºAsuntos!E11," - ")</f>
        <v>0.88037383177570094</v>
      </c>
      <c r="C11" s="442">
        <f>IF(ISNUMBER(NºAsuntos!I11/NºAsuntos!G11),NºAsuntos!I11/NºAsuntos!G11," - ")</f>
        <v>0.97452229299363058</v>
      </c>
      <c r="D11" s="443">
        <f>IF(ISNUMBER('Resol  Asuntos'!D11/NºAsuntos!G11),'Resol  Asuntos'!D11/NºAsuntos!G11," - ")</f>
        <v>0.2781316348195329</v>
      </c>
      <c r="E11" s="444">
        <f>IF(ISNUMBER((NºAsuntos!C11+NºAsuntos!E11)/NºAsuntos!G11),(NºAsuntos!C11+NºAsuntos!E11)/NºAsuntos!G11," - ")</f>
        <v>1.9745222929936306</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0.99069062567655342</v>
      </c>
      <c r="C13" s="856">
        <f>IF(ISNUMBER(NºAsuntos!I13/NºAsuntos!G13),NºAsuntos!I13/NºAsuntos!G13," - ")</f>
        <v>1.0878496503496504</v>
      </c>
      <c r="D13" s="857">
        <f>IF(ISNUMBER('Resol  Asuntos'!D13/NºAsuntos!G13),'Resol  Asuntos'!D13/NºAsuntos!G13," - ")</f>
        <v>0.28540209790209792</v>
      </c>
      <c r="E13" s="858">
        <f>IF(ISNUMBER((NºAsuntos!C13+NºAsuntos!E13)/NºAsuntos!G13),(NºAsuntos!C13+NºAsuntos!E13)/NºAsuntos!G13," - ")</f>
        <v>2.0904720279720279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1.0198105081826012</v>
      </c>
      <c r="C15" s="442">
        <f>IF(ISNUMBER(NºAsuntos!I15/NºAsuntos!G15),NºAsuntos!I15/NºAsuntos!G15," - ")</f>
        <v>0.69003378378378377</v>
      </c>
      <c r="D15" s="443">
        <f>IF(ISNUMBER('Resol  Asuntos'!D15/NºAsuntos!G15),'Resol  Asuntos'!D15/NºAsuntos!G15," - ")</f>
        <v>0.13851351351351351</v>
      </c>
      <c r="E15" s="444">
        <f>IF(ISNUMBER((NºAsuntos!C15+NºAsuntos!E15)/NºAsuntos!G15),(NºAsuntos!C15+NºAsuntos!E15)/NºAsuntos!G15," - ")</f>
        <v>1.6523085585585586</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0.919908466819222</v>
      </c>
      <c r="C18" s="442">
        <f>IF(ISNUMBER(NºAsuntos!I18/NºAsuntos!G18),NºAsuntos!I18/NºAsuntos!G18," - ")</f>
        <v>0.56218905472636815</v>
      </c>
      <c r="D18" s="443">
        <f>IF(ISNUMBER('Resol  Asuntos'!D18/NºAsuntos!G18),'Resol  Asuntos'!D18/NºAsuntos!G18," - ")</f>
        <v>0.11940298507462686</v>
      </c>
      <c r="E18" s="444">
        <f>IF(ISNUMBER((NºAsuntos!C18+NºAsuntos!E18)/NºAsuntos!G18),(NºAsuntos!C18+NºAsuntos!E18)/NºAsuntos!G18," - ")</f>
        <v>1.6044776119402986</v>
      </c>
      <c r="G18" s="462"/>
    </row>
    <row r="19" spans="1:7" ht="14.25" thickTop="1" thickBot="1">
      <c r="A19" s="845" t="str">
        <f>Datos!A19</f>
        <v>TOTAL</v>
      </c>
      <c r="B19" s="855">
        <f>IF(ISNUMBER(NºAsuntos!G19/NºAsuntos!E19),NºAsuntos!G19/NºAsuntos!E19," - ")</f>
        <v>1.008673469387755</v>
      </c>
      <c r="C19" s="856">
        <f>IF(ISNUMBER(NºAsuntos!I19/NºAsuntos!G19),NºAsuntos!I19/NºAsuntos!G19," - ")</f>
        <v>0.67703591299949417</v>
      </c>
      <c r="D19" s="859">
        <f>IF(ISNUMBER('Resol  Asuntos'!D19/NºAsuntos!G19),'Resol  Asuntos'!D19/NºAsuntos!G19," - ")</f>
        <v>0.13657056145675264</v>
      </c>
      <c r="E19" s="858">
        <f>IF(ISNUMBER((NºAsuntos!C19+NºAsuntos!E19)/NºAsuntos!G19),(NºAsuntos!C19+NºAsuntos!E19)/NºAsuntos!G19," - ")</f>
        <v>1.6474456246838645</v>
      </c>
      <c r="G19" s="462"/>
    </row>
    <row r="20" spans="1:7" ht="15.75" customHeight="1" thickTop="1" thickBot="1">
      <c r="A20" s="790" t="str">
        <f>Datos!A20</f>
        <v>TOTAL JURISDICCIONES</v>
      </c>
      <c r="B20" s="805">
        <f>IF(ISNUMBER(NºAsuntos!G20/NºAsuntos!E20),NºAsuntos!G20/NºAsuntos!E20," - ")</f>
        <v>0.99894601241363157</v>
      </c>
      <c r="C20" s="806">
        <f>IF(ISNUMBER(NºAsuntos!I20/NºAsuntos!G20),NºAsuntos!I20/NºAsuntos!G20," - ")</f>
        <v>0.89742086752637751</v>
      </c>
      <c r="D20" s="807">
        <f>IF(ISNUMBER('Resol  Asuntos'!D20/NºAsuntos!G20),'Resol  Asuntos'!D20/NºAsuntos!G20," - ")</f>
        <v>0.21641266119577959</v>
      </c>
      <c r="E20" s="808">
        <f>IF(ISNUMBER((NºAsuntos!C20+NºAsuntos!E20)/NºAsuntos!G20),(NºAsuntos!C20+NºAsuntos!E20)/NºAsuntos!G20," - ")</f>
        <v>1.8851113716295429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3l3FrTJLPVTdqn7jX+CEA0ryZM6ag1XXwz+tzD1ea9JYABfO7/V4n7eGDyC8h5WYmXBbZyyy5Sljo8Y4o281Aw==" saltValue="bCAE1kLaQxEhTGKr2dw/z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OVIEDO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247</v>
      </c>
      <c r="C9" s="159" t="str">
        <f>Datos!A9</f>
        <v>Sección Civil del T.I</v>
      </c>
      <c r="D9" s="159"/>
      <c r="E9" s="1020">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873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1019</v>
      </c>
      <c r="Y9" s="333">
        <f>SUM(W9:X9)</f>
        <v>1019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11673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1153</v>
      </c>
      <c r="AJ9" s="228" t="str">
        <f>IF(ISNUMBER(Datos!BW9),Datos!BW9," - ")</f>
        <v xml:space="preserve"> - </v>
      </c>
      <c r="AK9" s="227" t="str">
        <f>IF(ISNUMBER(Datos!BX9),Datos!BX9," - ")</f>
        <v xml:space="preserve"> - </v>
      </c>
      <c r="AL9" s="242">
        <f>IF(ISNUMBER(NºAsuntos!G9/NºAsuntos!E9),NºAsuntos!G9/NºAsuntos!E9," - ")</f>
        <v>1.0079404466501241</v>
      </c>
      <c r="AM9" s="259">
        <f>IF(ISNUMBER(((NºAsuntos!I9/NºAsuntos!G9)*11)/factor_trimestre),((NºAsuntos!I9/NºAsuntos!G9)*11)/factor_trimestre," - ")</f>
        <v>3.2747415066469721</v>
      </c>
      <c r="AN9" s="243">
        <f>IF(ISNUMBER('Resol  Asuntos'!D9/NºAsuntos!G9),'Resol  Asuntos'!D9/NºAsuntos!G9," - ")</f>
        <v>0.28385032003938948</v>
      </c>
      <c r="AO9" s="244">
        <f>IF(ISNUMBER((NºAsuntos!C9+NºAsuntos!E9)/NºAsuntos!G9),(NºAsuntos!C9+NºAsuntos!E9)/NºAsuntos!G9," - ")</f>
        <v>2.0945347119645494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74</v>
      </c>
      <c r="G10" s="332">
        <f>IF(ISNUMBER(Datos!I10),Datos!I10," - ")</f>
        <v>74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43</v>
      </c>
      <c r="X10" s="225">
        <f>IF(ISNUMBER(Datos!Q10),Datos!Q10," - ")</f>
        <v>1</v>
      </c>
      <c r="Y10" s="333">
        <f t="shared" ref="Y10:Y12" si="0">SUM(W10:X10)</f>
        <v>44</v>
      </c>
      <c r="Z10" s="334" t="str">
        <f>IF(ISNUMBER(Datos!CC10),Datos!CC10," - ")</f>
        <v xml:space="preserve"> - </v>
      </c>
      <c r="AA10" s="331">
        <f>IF(ISNUMBER(Datos!L10),Datos!L10,"-")</f>
        <v>85</v>
      </c>
      <c r="AB10" s="333">
        <f>IF(ISNUMBER(Datos!R10),Datos!R10," - ")</f>
        <v>74</v>
      </c>
      <c r="AC10" s="333">
        <f t="shared" ref="AC10:AC12" si="1">IF(ISNUMBER(AA10+AB10),AA10+AB10," - ")</f>
        <v>159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0.79629629629629628</v>
      </c>
      <c r="AM10" s="259">
        <f>IF(ISNUMBER(((NºAsuntos!I10/NºAsuntos!G10)*11)/factor_trimestre),((NºAsuntos!I10/NºAsuntos!G10)*11)/factor_trimestre," - ")</f>
        <v>5.9302325581395356</v>
      </c>
      <c r="AN10" s="243">
        <f>IF(ISNUMBER('Resol  Asuntos'!D10/NºAsuntos!G10),'Resol  Asuntos'!D10/NºAsuntos!G10," - ")</f>
        <v>0.51162790697674421</v>
      </c>
      <c r="AO10" s="244">
        <f>IF(ISNUMBER((NºAsuntos!C10+NºAsuntos!E10)/NºAsuntos!G10),(NºAsuntos!C10+NºAsuntos!E10)/NºAsuntos!G10," - ")</f>
        <v>2.9767441860465116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72</v>
      </c>
      <c r="Y11" s="333">
        <f t="shared" si="0"/>
        <v>72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261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131</v>
      </c>
      <c r="AJ11" s="230" t="str">
        <f>IF(ISNUMBER(Datos!BW11),Datos!BW11," - ")</f>
        <v xml:space="preserve"> - </v>
      </c>
      <c r="AK11" s="231" t="str">
        <f>IF(ISNUMBER(Datos!BX11),Datos!BX11," - ")</f>
        <v xml:space="preserve"> - </v>
      </c>
      <c r="AL11" s="242">
        <f>IF(ISNUMBER(NºAsuntos!G11/NºAsuntos!E11),NºAsuntos!G11/NºAsuntos!E11," - ")</f>
        <v>0.88037383177570094</v>
      </c>
      <c r="AM11" s="259">
        <f>IF(ISNUMBER(((NºAsuntos!I11/NºAsuntos!G11)*11)/factor_trimestre),((NºAsuntos!I11/NºAsuntos!G11)*11)/factor_trimestre," - ")</f>
        <v>2.9235668789808922</v>
      </c>
      <c r="AN11" s="243">
        <f>IF(ISNUMBER('Resol  Asuntos'!D11/NºAsuntos!G11),'Resol  Asuntos'!D11/NºAsuntos!G11," - ")</f>
        <v>0.2781316348195329</v>
      </c>
      <c r="AO11" s="244">
        <f>IF(ISNUMBER((NºAsuntos!C11+NºAsuntos!E11)/NºAsuntos!G11),(NºAsuntos!C11+NºAsuntos!E11)/NºAsuntos!G11," - ")</f>
        <v>1.9745222929936306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13</v>
      </c>
      <c r="F13" s="862">
        <f t="shared" si="3"/>
        <v>74</v>
      </c>
      <c r="G13" s="863">
        <f t="shared" si="3"/>
        <v>74</v>
      </c>
      <c r="H13" s="862">
        <f t="shared" si="3"/>
        <v>0</v>
      </c>
      <c r="I13" s="864">
        <f t="shared" si="3"/>
        <v>0</v>
      </c>
      <c r="J13" s="864">
        <f t="shared" si="3"/>
        <v>0</v>
      </c>
      <c r="K13" s="864">
        <f t="shared" si="3"/>
        <v>0</v>
      </c>
      <c r="L13" s="864">
        <f t="shared" si="3"/>
        <v>930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43</v>
      </c>
      <c r="X13" s="864">
        <f t="shared" si="4"/>
        <v>1092</v>
      </c>
      <c r="Y13" s="865">
        <f t="shared" si="4"/>
        <v>1135</v>
      </c>
      <c r="Z13" s="865">
        <f t="shared" si="4"/>
        <v>0</v>
      </c>
      <c r="AA13" s="865">
        <f t="shared" si="4"/>
        <v>85</v>
      </c>
      <c r="AB13" s="865">
        <f t="shared" si="4"/>
        <v>12008</v>
      </c>
      <c r="AC13" s="865">
        <f t="shared" si="4"/>
        <v>159</v>
      </c>
      <c r="AD13" s="865">
        <f t="shared" si="4"/>
        <v>0</v>
      </c>
      <c r="AE13" s="869">
        <f t="shared" si="4"/>
        <v>0</v>
      </c>
      <c r="AF13" s="862">
        <f t="shared" si="4"/>
        <v>0</v>
      </c>
      <c r="AG13" s="870">
        <f t="shared" si="4"/>
        <v>0</v>
      </c>
      <c r="AH13" s="867">
        <f t="shared" si="4"/>
        <v>0</v>
      </c>
      <c r="AI13" s="862">
        <f t="shared" si="4"/>
        <v>1306</v>
      </c>
      <c r="AJ13" s="864">
        <f t="shared" si="4"/>
        <v>0</v>
      </c>
      <c r="AK13" s="867">
        <f>SUBTOTAL(9,AK9:AK12)</f>
        <v>0</v>
      </c>
      <c r="AL13" s="871">
        <f>IF(ISNUMBER(NºAsuntos!G13/NºAsuntos!E13),NºAsuntos!G13/NºAsuntos!E13," - ")</f>
        <v>0.99069062567655342</v>
      </c>
      <c r="AM13" s="871">
        <f>IF(ISNUMBER(((NºAsuntos!I13/NºAsuntos!G13)*11)/factor_trimestre),((NºAsuntos!I13/NºAsuntos!G13)*11)/factor_trimestre," - ")</f>
        <v>3.2635489510489517</v>
      </c>
      <c r="AN13" s="872">
        <f>IF(ISNUMBER('Resol  Asuntos'!D13/NºAsuntos!G13),'Resol  Asuntos'!D13/NºAsuntos!G13," - ")</f>
        <v>0.28540209790209792</v>
      </c>
      <c r="AO13" s="873">
        <f>IF(ISNUMBER((NºAsuntos!C13+NºAsuntos!E13)/NºAsuntos!G13),(NºAsuntos!C13+NºAsuntos!E13)/NºAsuntos!G13," - ")</f>
        <v>2.0904720279720279</v>
      </c>
      <c r="AP13" s="874" t="str">
        <f t="shared" si="2"/>
        <v xml:space="preserve"> - </v>
      </c>
      <c r="AQ13" s="874">
        <f>IF(ISNUMBER((H13-W13+K13)/(F13)),(H13-W13+K13)/(F13)," - ")</f>
        <v>-0.58108108108108103</v>
      </c>
      <c r="AR13" s="875">
        <f>IF(ISNUMBER((Datos!P13-Datos!Q13)/(Datos!R13-Datos!P13+Datos!Q13)),(Datos!P13-Datos!Q13)/(Datos!R13-Datos!P13+Datos!Q13)," - ")</f>
        <v>-1.3311421528348398E-2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4</v>
      </c>
      <c r="B15" s="274" t="s">
        <v>397</v>
      </c>
      <c r="C15" s="159" t="str">
        <f>Datos!A15</f>
        <v xml:space="preserve">Seccion Instruccion Del T.I.                   </v>
      </c>
      <c r="D15" s="159"/>
      <c r="E15" s="1020">
        <f>IF(ISNUMBER(Datos!AQ15),Datos!AQ15," - ")</f>
        <v>4</v>
      </c>
      <c r="F15" s="224">
        <f>IF(ISNUMBER(AA15+W15-Datos!J15-K15),AA15+W15-Datos!J15-K15," - ")</f>
        <v>2520</v>
      </c>
      <c r="G15" s="332">
        <f>IF(ISNUMBER(IF(D_I="SI",Datos!I15,Datos!I15+Datos!AC15)),IF(D_I="SI",Datos!I15,Datos!I15+Datos!AC15)," - ")</f>
        <v>2386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204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3552</v>
      </c>
      <c r="X15" s="225">
        <f>IF(ISNUMBER(Datos!Q15),Datos!Q15," - ")</f>
        <v>169</v>
      </c>
      <c r="Y15" s="333">
        <f>SUM(W15)</f>
        <v>3552</v>
      </c>
      <c r="Z15" s="334" t="str">
        <f>IF(ISNUMBER(Datos!CC15),Datos!CC15," - ")</f>
        <v xml:space="preserve"> - </v>
      </c>
      <c r="AA15" s="331">
        <f>IF(ISNUMBER(IF(D_I="SI",Datos!L15,Datos!L15+Datos!AF15)),IF(D_I="SI",Datos!L15,Datos!L15+Datos!AF15)," - ")</f>
        <v>2451</v>
      </c>
      <c r="AB15" s="333">
        <f>IF(ISNUMBER(Datos!R15),Datos!R15," - ")</f>
        <v>709</v>
      </c>
      <c r="AC15" s="333">
        <f t="shared" ref="AC15:AC18" si="6">IF(ISNUMBER(AA15+AB15),AA15+AB15," - ")</f>
        <v>3160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492</v>
      </c>
      <c r="AJ15" s="230" t="str">
        <f>IF(ISNUMBER(Datos!BW15),Datos!BW15," - ")</f>
        <v xml:space="preserve"> - </v>
      </c>
      <c r="AK15" s="231" t="str">
        <f>IF(ISNUMBER(Datos!BX15),Datos!BX15," - ")</f>
        <v xml:space="preserve"> - </v>
      </c>
      <c r="AL15" s="242">
        <f>IF(ISNUMBER(NºAsuntos!G15/NºAsuntos!E15),NºAsuntos!G15/NºAsuntos!E15," - ")</f>
        <v>1.0198105081826012</v>
      </c>
      <c r="AM15" s="259">
        <f>IF(ISNUMBER(((NºAsuntos!I15/NºAsuntos!G15)*11)/factor_trimestre),((NºAsuntos!I15/NºAsuntos!G15)*11)/factor_trimestre," - ")</f>
        <v>2.0701013513513513</v>
      </c>
      <c r="AN15" s="243">
        <f>IF(ISNUMBER('Resol  Asuntos'!D15/NºAsuntos!G15),'Resol  Asuntos'!D15/NºAsuntos!G15," - ")</f>
        <v>0.13851351351351351</v>
      </c>
      <c r="AO15" s="244">
        <f>IF(ISNUMBER((NºAsuntos!C15+NºAsuntos!E15)/NºAsuntos!G15),(NºAsuntos!C15+NºAsuntos!E15)/NºAsuntos!G15," - ")</f>
        <v>1.6523085585585586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208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7</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402</v>
      </c>
      <c r="X18" s="225">
        <f>IF(ISNUMBER(Datos!Q18),Datos!Q18," - ")</f>
        <v>4</v>
      </c>
      <c r="Y18" s="333">
        <f t="shared" si="9"/>
        <v>406</v>
      </c>
      <c r="Z18" s="334" t="str">
        <f>IF(ISNUMBER(Datos!CC18),Datos!CC18," - ")</f>
        <v xml:space="preserve"> - </v>
      </c>
      <c r="AA18" s="331">
        <f>IF(ISNUMBER(Datos!L18),Datos!L18,"-")</f>
        <v>226</v>
      </c>
      <c r="AB18" s="333">
        <f>IF(ISNUMBER(Datos!R18),Datos!R18," - ")</f>
        <v>9</v>
      </c>
      <c r="AC18" s="333">
        <f t="shared" si="6"/>
        <v>235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48</v>
      </c>
      <c r="AJ18" s="230" t="str">
        <f>IF(ISNUMBER(Datos!BW18),Datos!BW18," - ")</f>
        <v xml:space="preserve"> - </v>
      </c>
      <c r="AK18" s="231" t="str">
        <f>IF(ISNUMBER(Datos!BX18),Datos!BX18," - ")</f>
        <v xml:space="preserve"> - </v>
      </c>
      <c r="AL18" s="242">
        <f>IF(ISNUMBER(NºAsuntos!G18/NºAsuntos!E18),NºAsuntos!G18/NºAsuntos!E18," - ")</f>
        <v>0.919908466819222</v>
      </c>
      <c r="AM18" s="259">
        <f>IF(ISNUMBER(((NºAsuntos!I18/NºAsuntos!G18)*11)/factor_trimestre),((NºAsuntos!I18/NºAsuntos!G18)*11)/factor_trimestre," - ")</f>
        <v>1.6865671641791045</v>
      </c>
      <c r="AN18" s="243">
        <f>IF(ISNUMBER('Resol  Asuntos'!D18/NºAsuntos!G18),'Resol  Asuntos'!D18/NºAsuntos!G18," - ")</f>
        <v>0.11940298507462686</v>
      </c>
      <c r="AO18" s="244">
        <f>IF(ISNUMBER((NºAsuntos!C18+NºAsuntos!E18)/NºAsuntos!G18),(NºAsuntos!C18+NºAsuntos!E18)/NºAsuntos!G18," - ")</f>
        <v>1.6044776119402986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2520</v>
      </c>
      <c r="G19" s="863">
        <f>SUBTOTAL(9,G15:G18)</f>
        <v>2594</v>
      </c>
      <c r="H19" s="862">
        <f t="shared" ref="H19:O19" si="12">SUBTOTAL(9,H14:H18)</f>
        <v>0</v>
      </c>
      <c r="I19" s="864">
        <f t="shared" si="12"/>
        <v>0</v>
      </c>
      <c r="J19" s="864">
        <f t="shared" si="12"/>
        <v>0</v>
      </c>
      <c r="K19" s="864">
        <f t="shared" si="12"/>
        <v>0</v>
      </c>
      <c r="L19" s="864">
        <f t="shared" si="12"/>
        <v>211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3954</v>
      </c>
      <c r="X19" s="864">
        <f t="shared" si="13"/>
        <v>173</v>
      </c>
      <c r="Y19" s="865">
        <f t="shared" si="13"/>
        <v>3958</v>
      </c>
      <c r="Z19" s="865">
        <f t="shared" si="13"/>
        <v>0</v>
      </c>
      <c r="AA19" s="865">
        <f t="shared" si="13"/>
        <v>2677</v>
      </c>
      <c r="AB19" s="865">
        <f t="shared" si="13"/>
        <v>718</v>
      </c>
      <c r="AC19" s="865">
        <f t="shared" si="13"/>
        <v>3395</v>
      </c>
      <c r="AD19" s="865">
        <f t="shared" si="13"/>
        <v>0</v>
      </c>
      <c r="AE19" s="869">
        <f t="shared" si="13"/>
        <v>0</v>
      </c>
      <c r="AF19" s="862">
        <f t="shared" si="13"/>
        <v>0</v>
      </c>
      <c r="AG19" s="870">
        <f t="shared" si="13"/>
        <v>0</v>
      </c>
      <c r="AH19" s="867">
        <f t="shared" si="13"/>
        <v>0</v>
      </c>
      <c r="AI19" s="862">
        <f t="shared" si="13"/>
        <v>540</v>
      </c>
      <c r="AJ19" s="864">
        <f t="shared" si="13"/>
        <v>0</v>
      </c>
      <c r="AK19" s="867">
        <f t="shared" si="13"/>
        <v>0</v>
      </c>
      <c r="AL19" s="871">
        <f>IF(ISNUMBER(NºAsuntos!G19/NºAsuntos!E19),NºAsuntos!G19/NºAsuntos!E19," - ")</f>
        <v>1.008673469387755</v>
      </c>
      <c r="AM19" s="871">
        <f>IF(ISNUMBER(((NºAsuntos!I19/NºAsuntos!G19)*11)/factor_trimestre),((NºAsuntos!I19/NºAsuntos!G19)*11)/factor_trimestre," - ")</f>
        <v>2.0311077389984824</v>
      </c>
      <c r="AN19" s="872">
        <f>IF(ISNUMBER('Resol  Asuntos'!D19/NºAsuntos!G19),'Resol  Asuntos'!D19/NºAsuntos!G19," - ")</f>
        <v>0.13657056145675264</v>
      </c>
      <c r="AO19" s="873">
        <f>IF(ISNUMBER((NºAsuntos!C19+NºAsuntos!E19)/NºAsuntos!G19),(NºAsuntos!C19+NºAsuntos!E19)/NºAsuntos!G19," - ")</f>
        <v>1.6474456246838645</v>
      </c>
      <c r="AP19" s="874" t="str">
        <f t="shared" si="2"/>
        <v xml:space="preserve"> - </v>
      </c>
      <c r="AQ19" s="874">
        <f>IF(ISNUMBER((H19-W19+K19)/(F19)),(H19-W19+K19)/(F19)," - ")</f>
        <v>-1.569047619047619</v>
      </c>
      <c r="AR19" s="875">
        <f>IF(ISNUMBER((Datos!P19-Datos!Q19)/(Datos!R19-Datos!P19+Datos!Q19)),(Datos!P19-Datos!Q19)/(Datos!R19-Datos!P19+Datos!Q19)," - ")</f>
        <v>5.5882352941176473E-2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18</v>
      </c>
      <c r="F20" s="817">
        <f t="shared" si="15"/>
        <v>2594</v>
      </c>
      <c r="G20" s="818">
        <f t="shared" si="15"/>
        <v>2668</v>
      </c>
      <c r="H20" s="817">
        <f t="shared" si="15"/>
        <v>0</v>
      </c>
      <c r="I20" s="819">
        <f t="shared" si="15"/>
        <v>0</v>
      </c>
      <c r="J20" s="819">
        <f t="shared" si="15"/>
        <v>0</v>
      </c>
      <c r="K20" s="878">
        <f t="shared" si="15"/>
        <v>0</v>
      </c>
      <c r="L20" s="819">
        <f t="shared" si="15"/>
        <v>1141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3997</v>
      </c>
      <c r="X20" s="818">
        <f t="shared" si="16"/>
        <v>1265</v>
      </c>
      <c r="Y20" s="825">
        <f t="shared" si="16"/>
        <v>5093</v>
      </c>
      <c r="Z20" s="825">
        <f t="shared" si="16"/>
        <v>0</v>
      </c>
      <c r="AA20" s="825">
        <f t="shared" si="16"/>
        <v>2762</v>
      </c>
      <c r="AB20" s="825">
        <f t="shared" si="16"/>
        <v>12726</v>
      </c>
      <c r="AC20" s="825">
        <f t="shared" si="16"/>
        <v>3554</v>
      </c>
      <c r="AD20" s="825">
        <f t="shared" si="16"/>
        <v>0</v>
      </c>
      <c r="AE20" s="827">
        <f t="shared" si="16"/>
        <v>0</v>
      </c>
      <c r="AF20" s="828">
        <f t="shared" si="16"/>
        <v>0</v>
      </c>
      <c r="AG20" s="829">
        <f t="shared" si="16"/>
        <v>0</v>
      </c>
      <c r="AH20" s="827">
        <f t="shared" si="16"/>
        <v>0</v>
      </c>
      <c r="AI20" s="817">
        <f t="shared" si="16"/>
        <v>1846</v>
      </c>
      <c r="AJ20" s="817">
        <f t="shared" si="16"/>
        <v>0</v>
      </c>
      <c r="AK20" s="827">
        <f t="shared" si="16"/>
        <v>0</v>
      </c>
      <c r="AL20" s="881">
        <f>IF(ISNUMBER(NºAsuntos!G20/NºAsuntos!E20),NºAsuntos!G20/NºAsuntos!E20," - ")</f>
        <v>0.99894601241363157</v>
      </c>
      <c r="AM20" s="882">
        <f>IF(ISNUMBER(((NºAsuntos!I20/NºAsuntos!G20)*11)/factor_trimestre),((NºAsuntos!I20/NºAsuntos!G20)*11)/factor_trimestre," - ")</f>
        <v>2.6922626025791327</v>
      </c>
      <c r="AN20" s="882">
        <f>IF(ISNUMBER('Resol  Asuntos'!D20/NºAsuntos!G20),'Resol  Asuntos'!D20/NºAsuntos!G20," - ")</f>
        <v>0.21641266119577959</v>
      </c>
      <c r="AO20" s="883">
        <f>IF(ISNUMBER((NºAsuntos!C20+NºAsuntos!E20)/NºAsuntos!G20),(NºAsuntos!C20+NºAsuntos!E20)/NºAsuntos!G20," - ")</f>
        <v>1.8851113716295429</v>
      </c>
      <c r="AP20" s="884" t="str">
        <f t="shared" si="2"/>
        <v xml:space="preserve"> - </v>
      </c>
      <c r="AQ20" s="885">
        <f>IF(OR(ISNUMBER(FIND("01",Criterios!A8,1)),ISNUMBER(FIND("02",Criterios!A8,1)),ISNUMBER(FIND("03",Criterios!A8,1)),ISNUMBER(FIND("04",Criterios!A8,1))),(I20-W20+K20)/(F20-K20),(H20-W20+K20)/(F20-K20))</f>
        <v>-1.540863531225906</v>
      </c>
      <c r="AR20" s="886">
        <f>IF(ISNUMBER((Datos!P20-Datos!Q20)/(Datos!R20-Datos!P20+Datos!Q20)),(Datos!P20-Datos!Q20)/(Datos!R20-Datos!P20+Datos!Q20)," - ")</f>
        <v>-9.6498054474708165E-3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1067.2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4.5509461775669369</v>
      </c>
      <c r="F22" s="251">
        <f>IF(ISNUMBER(STDEV(F8:F19)),STDEV(F8:F19),"-")</f>
        <v>1412.1987584378246</v>
      </c>
      <c r="G22" s="252">
        <f>IF(ISNUMBER(STDEV(G8:G19)),STDEV(G8:G19),"-")</f>
        <v>1302.0626713027295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1977.0757952086713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523.03468882502023</v>
      </c>
      <c r="AJ22" s="251">
        <f t="shared" si="20"/>
        <v>0</v>
      </c>
      <c r="AK22" s="253">
        <f t="shared" si="20"/>
        <v>0</v>
      </c>
      <c r="AL22" s="248">
        <f t="shared" si="20"/>
        <v>8.4269584295371958E-2</v>
      </c>
      <c r="AM22" s="249">
        <f t="shared" si="20"/>
        <v>1.4295100352919878</v>
      </c>
      <c r="AN22" s="249">
        <f t="shared" si="20"/>
        <v>0.1378338424662863</v>
      </c>
      <c r="AO22" s="250">
        <f t="shared" si="20"/>
        <v>0.47839799054605703</v>
      </c>
      <c r="AP22" s="290" t="str">
        <f t="shared" si="20"/>
        <v>-</v>
      </c>
      <c r="AQ22" s="291">
        <f t="shared" si="20"/>
        <v>0.6985978385815359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zyOFMyUQYEUIv68A8u2YUazEDb86Z4CMizWWzQceqWpi98xAROD+l2KOj1mofPfCECarWE0eQZ75TASyhy6IA==" saltValue="JL+hg6WWdYIsLWN+nvB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OVIEDO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-0.24044795783926218</v>
      </c>
      <c r="I9" s="349">
        <f>IF(ISNUMBER((Tasas!C9-Datos!BE9)/Datos!BE9),(Tasas!C9-Datos!BE9)/Datos!BE9," - ")</f>
        <v>-0.22629065739391335</v>
      </c>
      <c r="J9" s="348">
        <f>IF(ISNUMBER((Tasas!D9-Datos!BF9)/Datos!BF9),(Tasas!D9-Datos!BF9)/Datos!BF9," - ")</f>
        <v>-0.30040376106458311</v>
      </c>
      <c r="K9" s="350">
        <f>IF(ISNUMBER((Tasas!E9-Datos!BG9)/Datos!BG9),(Tasas!E9-Datos!BG9)/Datos!BG9," - ")</f>
        <v>-0.13035137366899172</v>
      </c>
      <c r="M9" t="e">
        <f>IF(Monitorios="SI",Datos!CE9,0)</f>
        <v>#REF!</v>
      </c>
      <c r="N9" t="e">
        <f>IF(Monitorios="SI",Datos!CF9,0)</f>
        <v>#REF!</v>
      </c>
      <c r="O9" t="e">
        <f>IF(Monitorios="SI",Datos!CG9,0)</f>
        <v>#REF!</v>
      </c>
      <c r="P9" t="e">
        <f>IF(Monitorios="SI",Datos!CH9,0)</f>
        <v>#REF!</v>
      </c>
      <c r="Q9">
        <f>IF(J_V="SI",0,Datos!AG9)</f>
        <v>154</v>
      </c>
      <c r="R9">
        <f>IF(J_V="SI",0,Datos!AH9)</f>
        <v>238</v>
      </c>
      <c r="S9">
        <f>IF(J_V="SI",0,Datos!AI9)</f>
        <v>248</v>
      </c>
      <c r="T9">
        <f>IF(J_V="SI",0,Datos!AJ9)</f>
        <v>144</v>
      </c>
    </row>
    <row r="10" spans="2:20" ht="14.25">
      <c r="B10" s="274" t="s">
        <v>247</v>
      </c>
      <c r="C10" s="7" t="str">
        <f>Datos!A10</f>
        <v>Sección De Violencia sobre la Mujer del TI</v>
      </c>
      <c r="D10" s="351">
        <f>IF(ISNUMBER((Datos!I10-Datos!S10)/Datos!S10),(Datos!I10-Datos!S10)/Datos!S10," - ")</f>
        <v>-0.34513274336283184</v>
      </c>
      <c r="E10" s="347">
        <f>IF(ISNUMBER((Datos!J10-Datos!T10)/Datos!T10),(Datos!J10-Datos!T10)/Datos!T10," - ")</f>
        <v>-0.40659340659340659</v>
      </c>
      <c r="F10" s="347">
        <f>IF(ISNUMBER((Datos!K10-Datos!U10)/Datos!U10),(Datos!K10-Datos!U10)/Datos!U10," - ")</f>
        <v>-0.43421052631578949</v>
      </c>
      <c r="G10" s="348">
        <f>IF(ISNUMBER((Datos!L10-Datos!V10)/Datos!V10),(Datos!L10-Datos!V10)/Datos!V10," - ")</f>
        <v>-0.3359375</v>
      </c>
      <c r="H10" s="229">
        <f>IF(ISNUMBER((Datos!M10-Datos!W10)/Datos!W10),(Datos!M10-Datos!W10)/Datos!W10," - ")</f>
        <v>0</v>
      </c>
      <c r="I10" s="349">
        <f>IF(ISNUMBER((Tasas!C10-Datos!BE10)/Datos!BE10),(Tasas!C10-Datos!BE10)/Datos!BE10," - ")</f>
        <v>0.17369186046511631</v>
      </c>
      <c r="J10" s="348">
        <f>IF(ISNUMBER((Tasas!D10-Datos!BF10)/Datos!BF10),(Tasas!D10-Datos!BF10)/Datos!BF10," - ")</f>
        <v>0.76744186046511631</v>
      </c>
      <c r="K10" s="350">
        <f>IF(ISNUMBER((Tasas!E10-Datos!BG10)/Datos!BG10),(Tasas!E10-Datos!BG10)/Datos!BG10," - ")</f>
        <v>0.10898312813497495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-0.27624309392265195</v>
      </c>
      <c r="I11" s="349">
        <f>IF(ISNUMBER((Tasas!C11-Datos!BE11)/Datos!BE11),(Tasas!C11-Datos!BE11)/Datos!BE11," - ")</f>
        <v>0.41569116887588214</v>
      </c>
      <c r="J11" s="348">
        <f>IF(ISNUMBER((Tasas!D11-Datos!BF11)/Datos!BF11),(Tasas!D11-Datos!BF11)/Datos!BF11," - ")</f>
        <v>-0.54925903402362131</v>
      </c>
      <c r="K11" s="350">
        <f>IF(ISNUMBER((Tasas!E11-Datos!BG11)/Datos!BG11),(Tasas!E11-Datos!BG11)/Datos!BG11," - ")</f>
        <v>0.16948290080889969</v>
      </c>
      <c r="M11" t="e">
        <f>IF(Monitorios="SI",Datos!CE11,0)</f>
        <v>#REF!</v>
      </c>
      <c r="N11" t="e">
        <f>IF(Monitorios="SI",Datos!CF11,0)</f>
        <v>#REF!</v>
      </c>
      <c r="O11" t="e">
        <f>IF(Monitorios="SI",Datos!CG11,0)</f>
        <v>#REF!</v>
      </c>
      <c r="P11" t="e">
        <f>IF(Monitorios="SI",Datos!CH11,0)</f>
        <v>#REF!</v>
      </c>
      <c r="Q11">
        <f>IF(J_V="SI",0,Datos!AG11)</f>
        <v>84</v>
      </c>
      <c r="R11">
        <f>IF(J_V="SI",0,Datos!AH11)</f>
        <v>292</v>
      </c>
      <c r="S11">
        <f>IF(J_V="SI",0,Datos!AI11)</f>
        <v>278</v>
      </c>
      <c r="T11">
        <f>IF(J_V="SI",0,Datos!AJ11)</f>
        <v>98</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-0.24113887274840209</v>
      </c>
      <c r="I13" s="356">
        <f>IF(ISNUMBER((Tasas!C13-Datos!BE13)/Datos!BE13),(Tasas!C13-Datos!BE13)/Datos!BE13," - ")</f>
        <v>-0.18467379867424988</v>
      </c>
      <c r="J13" s="354">
        <f>IF(ISNUMBER((Tasas!D13-Datos!BF13)/Datos!BF13),(Tasas!D13-Datos!BF13)/Datos!BF13," - ")</f>
        <v>-0.33264585876713787</v>
      </c>
      <c r="K13" s="357">
        <f>IF(ISNUMBER((Tasas!E13-Datos!BG13)/Datos!BG13),(Tasas!E13-Datos!BG13)/Datos!BG13," - ")</f>
        <v>-0.10364284881600662</v>
      </c>
      <c r="M13" t="e">
        <f>IF(Monitorios="SI",Datos!CE13,0)</f>
        <v>#REF!</v>
      </c>
      <c r="N13" t="e">
        <f>IF(Monitorios="SI",Datos!CF13,0)</f>
        <v>#REF!</v>
      </c>
      <c r="O13" t="e">
        <f>IF(Monitorios="SI",Datos!CG13,0)</f>
        <v>#REF!</v>
      </c>
      <c r="P13" t="e">
        <f>IF(Monitorios="SI",Datos!CH13,0)</f>
        <v>#REF!</v>
      </c>
      <c r="Q13">
        <f>IF(J_V="SI",0,Datos!AG13)</f>
        <v>238</v>
      </c>
      <c r="R13">
        <f>IF(J_V="SI",0,Datos!AH13)</f>
        <v>530</v>
      </c>
      <c r="S13">
        <f>IF(J_V="SI",0,Datos!AI13)</f>
        <v>526</v>
      </c>
      <c r="T13">
        <f>IF(J_V="SI",0,Datos!AJ13)</f>
        <v>242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-0.12856099342585828</v>
      </c>
      <c r="E15" s="347">
        <f>IF(ISNUMBER(
   IF(D_I="SI",(Datos!J15-Datos!T15)/Datos!T15,(Datos!J15+Datos!AD15-(Datos!T15+Datos!AL15))/(Datos!T15+Datos!AL15))
     ),IF(D_I="SI",(Datos!J15-Datos!T15)/Datos!T15,(Datos!J15+Datos!AD15-(Datos!T15+Datos!AL15))/(Datos!T15+Datos!AL15))," - ")</f>
        <v>4.8149262714414685E-2</v>
      </c>
      <c r="F15" s="347">
        <f>IF(ISNUMBER(
   IF(D_I="SI",(Datos!K15-Datos!U15)/Datos!U15,(Datos!K15+Datos!AE15-(Datos!U15+Datos!AM15))/(Datos!U15+Datos!AM15))
     ),IF(D_I="SI",(Datos!K15-Datos!U15)/Datos!U15,(Datos!K15+Datos!AE15-(Datos!U15+Datos!AM15))/(Datos!U15+Datos!AM15))," - ")</f>
        <v>8.4911423335369579E-2</v>
      </c>
      <c r="G15" s="348">
        <f>IF(ISNUMBER(
   IF(D_I="SI",(Datos!L15-Datos!V15)/Datos!V15,(Datos!L15+Datos!AF15-(Datos!V15+Datos!AN15))/(Datos!V15+Datos!AN15))
     ),IF(D_I="SI",(Datos!L15-Datos!V15)/Datos!V15,(Datos!L15+Datos!AF15-(Datos!V15+Datos!AN15))/(Datos!V15+Datos!AN15))," - ")</f>
        <v>-0.12868823320298614</v>
      </c>
      <c r="H15" s="229">
        <f>IF(ISNUMBER((Datos!M15-Datos!W15)/Datos!W15),(Datos!M15-Datos!W15)/Datos!W15," - ")</f>
        <v>0.22388059701492538</v>
      </c>
      <c r="I15" s="349">
        <f>IF(ISNUMBER((Tasas!C15-Datos!BE15)/Datos!BE15),(Tasas!C15-Datos!BE15)/Datos!BE15," - ")</f>
        <v>-0.19688211585207677</v>
      </c>
      <c r="J15" s="348">
        <f>IF(ISNUMBER((Tasas!D15-Datos!BF15)/Datos!BF15),(Tasas!D15-Datos!BF15)/Datos!BF15," - ")</f>
        <v>0.12809264488368965</v>
      </c>
      <c r="K15" s="350">
        <f>IF(ISNUMBER((Tasas!E15-Datos!BG15)/Datos!BG15),(Tasas!E15-Datos!BG15)/Datos!BG15," - ")</f>
        <v>-0.10746440839453536</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-7.9646017699115043E-2</v>
      </c>
      <c r="E18" s="347">
        <f>IF(ISNUMBER(
   IF(D_I="SI",(Datos!J18-Datos!T18)/Datos!T18,(Datos!J18+Datos!AD18-(Datos!T18+Datos!AL18))/(Datos!T18+Datos!AL18))
     ),IF(D_I="SI",(Datos!J18-Datos!T18)/Datos!T18,(Datos!J18+Datos!AD18-(Datos!T18+Datos!AL18))/(Datos!T18+Datos!AL18))," - ")</f>
        <v>0.17158176943699732</v>
      </c>
      <c r="F18" s="347">
        <f>IF(ISNUMBER(
   IF(D_I="SI",(Datos!K18-Datos!U18)/Datos!U18,(Datos!K18+Datos!AE18-(Datos!U18+Datos!AM18))/(Datos!U18+Datos!AM18))
     ),IF(D_I="SI",(Datos!K18-Datos!U18)/Datos!U18,(Datos!K18+Datos!AE18-(Datos!U18+Datos!AM18))/(Datos!U18+Datos!AM18))," - ")</f>
        <v>7.1999999999999995E-2</v>
      </c>
      <c r="G18" s="348">
        <f>IF(ISNUMBER(
   IF(D_I="SI",(Datos!L18-Datos!V18)/Datos!V18,(Datos!L18+Datos!AF18-(Datos!V18+Datos!AN18))/(Datos!V18+Datos!AN18))
     ),IF(D_I="SI",(Datos!L18-Datos!V18)/Datos!V18,(Datos!L18+Datos!AF18-(Datos!V18+Datos!AN18))/(Datos!V18+Datos!AN18))," - ")</f>
        <v>8.9285714285714281E-3</v>
      </c>
      <c r="H18" s="229">
        <f>IF(ISNUMBER((Datos!M18-Datos!W18)/Datos!W18),(Datos!M18-Datos!W18)/Datos!W18," - ")</f>
        <v>-0.26153846153846155</v>
      </c>
      <c r="I18" s="349">
        <f>IF(ISNUMBER((Tasas!C18-Datos!BE18)/Datos!BE18),(Tasas!C18-Datos!BE18)/Datos!BE18," - ")</f>
        <v>-5.8835287846481961E-2</v>
      </c>
      <c r="J18" s="348">
        <f>IF(ISNUMBER((Tasas!D18-Datos!BF18)/Datos!BF18),(Tasas!D18-Datos!BF18)/Datos!BF18," - ")</f>
        <v>-0.31113662456946045</v>
      </c>
      <c r="K18" s="350">
        <f>IF(ISNUMBER((Tasas!E18-Datos!BG18)/Datos!BG18),(Tasas!E18-Datos!BG18)/Datos!BG18," - ")</f>
        <v>4.4726285102036616E-3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-0.12483130904183536</v>
      </c>
      <c r="E19" s="353">
        <f>IF(ISNUMBER(
   IF(D_I="SI",(Datos!J19-Datos!T19)/Datos!T19,(Datos!J19+Datos!AD19-(Datos!T19+Datos!AL19))/(Datos!T19+Datos!AL19))
     ),IF(D_I="SI",(Datos!J19-Datos!T19)/Datos!T19,(Datos!J19+Datos!AD19-(Datos!T19+Datos!AL19))/(Datos!T19+Datos!AL19))," - ")</f>
        <v>6.0606060606060608E-2</v>
      </c>
      <c r="F19" s="353">
        <f>IF(ISNUMBER(
   IF(D_I="SI",(Datos!K19-Datos!U19)/Datos!U19,(Datos!K19+Datos!AE19-(Datos!U19+Datos!AM19))/(Datos!U19+Datos!AM19))
     ),IF(D_I="SI",(Datos!K19-Datos!U19)/Datos!U19,(Datos!K19+Datos!AE19-(Datos!U19+Datos!AM19))/(Datos!U19+Datos!AM19))," - ")</f>
        <v>8.3584543710605641E-2</v>
      </c>
      <c r="G19" s="354">
        <f>IF(ISNUMBER(
   IF(D_I="SI",(Datos!L19-Datos!V19)/Datos!V19,(Datos!L19+Datos!AF19-(Datos!V19+Datos!AN19))/(Datos!V19+Datos!AN19))
     ),IF(D_I="SI",(Datos!L19-Datos!V19)/Datos!V19,(Datos!L19+Datos!AF19-(Datos!V19+Datos!AN19))/(Datos!V19+Datos!AN19))," - ")</f>
        <v>-0.11853803095159697</v>
      </c>
      <c r="H19" s="355">
        <f>IF(ISNUMBER((Datos!M19-Datos!W19)/Datos!W19),(Datos!M19-Datos!W19)/Datos!W19," - ")</f>
        <v>0.15631691648822268</v>
      </c>
      <c r="I19" s="356">
        <f>IF(ISNUMBER((Tasas!C19-Datos!BE19)/Datos!BE19),(Tasas!C19-Datos!BE19)/Datos!BE19," - ")</f>
        <v>-0.18653143018269536</v>
      </c>
      <c r="J19" s="354">
        <f>IF(ISNUMBER((Tasas!D19-Datos!BF19)/Datos!BF19),(Tasas!D19-Datos!BF19)/Datos!BF19," - ")</f>
        <v>6.7122010183491176E-2</v>
      </c>
      <c r="K19" s="357">
        <f>IF(ISNUMBER((Tasas!E19-Datos!BG19)/Datos!BG19),(Tasas!E19-Datos!BG19)/Datos!BG19," - ")</f>
        <v>-9.7368005334621366E-2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-0.19313075112347527</v>
      </c>
      <c r="E20" s="362">
        <f>IF(ISNUMBER(
   IF(J_V="SI",(Datos!J20-Datos!T20)/Datos!T20,(Datos!J20+Datos!Z20-(Datos!T20+Datos!AH20))/(Datos!T20+Datos!AH20))
     ),IF(J_V="SI",(Datos!J20-Datos!T20)/Datos!T20,(Datos!J20+Datos!Z20-(Datos!T20+Datos!AH20))/(Datos!T20+Datos!AH20))," - ")</f>
        <v>-0.21451568392972128</v>
      </c>
      <c r="F20" s="362">
        <f>IF(ISNUMBER(
   IF(J_V="SI",(Datos!K20-Datos!U20)/Datos!U20,(Datos!K20+Datos!AA20-(Datos!U20+Datos!AI20))/(Datos!U20+Datos!AI20))
     ),IF(J_V="SI",(Datos!K20-Datos!U20)/Datos!U20,(Datos!K20+Datos!AA20-(Datos!U20+Datos!AI20))/(Datos!U20+Datos!AI20))," - ")</f>
        <v>-9.8499260198689501E-2</v>
      </c>
      <c r="G20" s="363">
        <f>IF(ISNUMBER(
   IF(J_V="SI",(Datos!L20-Datos!V20)/Datos!V20,(Datos!L20+Datos!AB20-(Datos!V20+Datos!AJ20))/(Datos!V20+Datos!AJ20))
     ),IF(J_V="SI",(Datos!L20-Datos!V20)/Datos!V20,(Datos!L20+Datos!AB20-(Datos!V20+Datos!AJ20))/(Datos!V20+Datos!AJ20))," - ")</f>
        <v>-0.29074400074122114</v>
      </c>
      <c r="H20" s="364">
        <f>IF(ISNUMBER((Datos!M20-Datos!W20)/Datos!W20),(Datos!M20-Datos!W20)/Datos!W20," - ")</f>
        <v>-0.1563071297989031</v>
      </c>
      <c r="I20" s="361">
        <f>IF(ISNUMBER((Tasas!C20-Datos!BE20)/Datos!BE20),(Tasas!C20-Datos!BE20)/Datos!BE20," - ")</f>
        <v>-0.21324967585151633</v>
      </c>
      <c r="J20" s="362">
        <f>IF(ISNUMBER((Tasas!D20-Datos!BF20)/Datos!BF20),(Tasas!D20-Datos!BF20)/Datos!BF20," - ")</f>
        <v>-0.30657074153929348</v>
      </c>
      <c r="K20" s="363">
        <f>IF(ISNUMBER((Tasas!E20-Datos!BG20)/Datos!BG20),(Tasas!E20-Datos!BG20)/Datos!BG20," - ")</f>
        <v>-0.11772647779795549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0.11915240320977297</v>
      </c>
      <c r="E22" s="277">
        <f t="shared" si="1"/>
        <v>0.25610205242873391</v>
      </c>
      <c r="F22" s="277">
        <f t="shared" si="1"/>
        <v>0.25725329560915172</v>
      </c>
      <c r="G22" s="278">
        <f t="shared" si="1"/>
        <v>0.14272249916011032</v>
      </c>
      <c r="H22" s="284">
        <f t="shared" si="1"/>
        <v>0.21481407396438584</v>
      </c>
      <c r="I22" s="276">
        <f t="shared" si="1"/>
        <v>0.24336332391216906</v>
      </c>
      <c r="J22" s="277">
        <f t="shared" si="1"/>
        <v>0.44140290933105841</v>
      </c>
      <c r="K22" s="278">
        <f t="shared" si="1"/>
        <v>0.11966108270057114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Z/50YB05wCNN+SEArLrfvQoertptn6fmrb7Q3jdDRn/M3wwytPKPOV37YGqqQoG/9f4mlzvsZJCy/KnjbDGxg==" saltValue="gXhHEEVypEcBclRaJxFfI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